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omments1.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drawings/drawing5.xml" ContentType="application/vnd.openxmlformats-officedocument.drawing+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drawings/drawing6.xml" ContentType="application/vnd.openxmlformats-officedocument.drawing+xml"/>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customProperty26.bin" ContentType="application/vnd.openxmlformats-officedocument.spreadsheetml.customProperty"/>
  <Override PartName="/xl/customProperty27.bin" ContentType="application/vnd.openxmlformats-officedocument.spreadsheetml.customProperty"/>
  <Override PartName="/xl/customProperty28.bin" ContentType="application/vnd.openxmlformats-officedocument.spreadsheetml.customProperty"/>
  <Override PartName="/xl/customProperty29.bin" ContentType="application/vnd.openxmlformats-officedocument.spreadsheetml.customProperty"/>
  <Override PartName="/xl/customProperty30.bin" ContentType="application/vnd.openxmlformats-officedocument.spreadsheetml.customProperty"/>
  <Override PartName="/xl/customProperty31.bin" ContentType="application/vnd.openxmlformats-officedocument.spreadsheetml.customProperty"/>
  <Override PartName="/xl/customProperty32.bin" ContentType="application/vnd.openxmlformats-officedocument.spreadsheetml.customProperty"/>
  <Override PartName="/xl/customProperty33.bin" ContentType="application/vnd.openxmlformats-officedocument.spreadsheetml.customProperty"/>
  <Override PartName="/xl/customProperty34.bin" ContentType="application/vnd.openxmlformats-officedocument.spreadsheetml.customProperty"/>
  <Override PartName="/xl/customProperty35.bin" ContentType="application/vnd.openxmlformats-officedocument.spreadsheetml.customProperty"/>
  <Override PartName="/xl/customProperty36.bin" ContentType="application/vnd.openxmlformats-officedocument.spreadsheetml.customProperty"/>
  <Override PartName="/xl/customProperty37.bin" ContentType="application/vnd.openxmlformats-officedocument.spreadsheetml.customProperty"/>
  <Override PartName="/xl/customProperty38.bin" ContentType="application/vnd.openxmlformats-officedocument.spreadsheetml.customProperty"/>
  <Override PartName="/xl/customProperty39.bin" ContentType="application/vnd.openxmlformats-officedocument.spreadsheetml.customProperty"/>
  <Override PartName="/xl/customProperty40.bin" ContentType="application/vnd.openxmlformats-officedocument.spreadsheetml.customProperty"/>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https://perfectdayfoods.sharepoint.com/sites/financeadmin/Shared Documents/FP&amp;A/Projects/Series E/Series E Update March 2023/New Comprehensive Model/"/>
    </mc:Choice>
  </mc:AlternateContent>
  <xr:revisionPtr revIDLastSave="0" documentId="8_{75B71791-9615-49EF-8463-922957B7B876}" xr6:coauthVersionLast="47" xr6:coauthVersionMax="47" xr10:uidLastSave="{00000000-0000-0000-0000-000000000000}"/>
  <bookViews>
    <workbookView xWindow="25800" yWindow="0" windowWidth="25800" windowHeight="21000" firstSheet="2" activeTab="2" xr2:uid="{068EC9CD-5417-4758-8890-FA8DC0198362}"/>
  </bookViews>
  <sheets>
    <sheet name="Assumptions" sheetId="25" state="hidden" r:id="rId1"/>
    <sheet name="Presentation" sheetId="48" state="hidden" r:id="rId2"/>
    <sheet name="PD Global" sheetId="12" r:id="rId3"/>
    <sheet name="Unit Economies" sheetId="24" r:id="rId4"/>
    <sheet name="WPI Historical Prices" sheetId="57" r:id="rId5"/>
    <sheet name="Balance Sheet" sheetId="35" r:id="rId6"/>
    <sheet name="CAPEX &amp; Financing" sheetId="36" r:id="rId7"/>
    <sheet name="Cashflow" sheetId="38" r:id="rId8"/>
    <sheet name="Capital Reconciliation" sheetId="58" r:id="rId9"/>
    <sheet name="Support Tabs&gt;&gt;&gt;" sheetId="23" r:id="rId10"/>
    <sheet name="Ingredients" sheetId="1" r:id="rId11"/>
    <sheet name="TUC  North America" sheetId="7" r:id="rId12"/>
    <sheet name="TUC High Level Sales Plan" sheetId="27" r:id="rId13"/>
    <sheet name="TUC International" sheetId="17" r:id="rId14"/>
    <sheet name="TUC Intl High Level Sales Plan" sheetId="34" r:id="rId15"/>
    <sheet name="TUC JV" sheetId="43" r:id="rId16"/>
    <sheet name="TUC JV High Level Sales Plan" sheetId="42" r:id="rId17"/>
    <sheet name="Nth Bio" sheetId="9" r:id="rId18"/>
    <sheet name="Nth Bio Revenue &amp; COGS" sheetId="55" r:id="rId19"/>
    <sheet name="Overheads" sheetId="28" r:id="rId20"/>
    <sheet name="Overheads Reconciliation" sheetId="60" r:id="rId21"/>
    <sheet name="Headcount Plan" sheetId="30" r:id="rId22"/>
    <sheet name="Headcount Reconciliaiton" sheetId="59" r:id="rId23"/>
    <sheet name="Project Pele ROI" sheetId="51" r:id="rId24"/>
    <sheet name="Project Pele Fin." sheetId="52" r:id="rId25"/>
    <sheet name="Project Playground ROI" sheetId="53" r:id="rId26"/>
    <sheet name="Project Playground Fin." sheetId="54" r:id="rId27"/>
    <sheet name="Project Eureka ROI" sheetId="49" r:id="rId28"/>
    <sheet name="Project Eureka Fin." sheetId="50" r:id="rId29"/>
    <sheet name="Plant Metrics" sheetId="56" r:id="rId30"/>
    <sheet name="AdHoc" sheetId="29" state="hidden" r:id="rId31"/>
    <sheet name="AdHoc Outs. Serv." sheetId="31" state="hidden" r:id="rId32"/>
    <sheet name="AdHoc TUC" sheetId="32" state="hidden" r:id="rId33"/>
    <sheet name="AdHoc SBF" sheetId="33" state="hidden" r:id="rId34"/>
  </sheets>
  <externalReferences>
    <externalReference r:id="rId35"/>
    <externalReference r:id="rId36"/>
    <externalReference r:id="rId37"/>
    <externalReference r:id="rId38"/>
  </externalReferences>
  <definedNames>
    <definedName name="___________a4" localSheetId="0" hidden="1">{"whole",#N/A,FALSE,"Gen_Dist_Act_Bud";"whole",#N/A,FALSE,"Gen_Dist_T3months";"whole",#N/A,FALSE,"GD_PerP";"whole",#N/A,FALSE,"HR Dist'n"}</definedName>
    <definedName name="___________a4" localSheetId="3" hidden="1">{"whole",#N/A,FALSE,"Gen_Dist_Act_Bud";"whole",#N/A,FALSE,"Gen_Dist_T3months";"whole",#N/A,FALSE,"GD_PerP";"whole",#N/A,FALSE,"HR Dist'n"}</definedName>
    <definedName name="___________a4" hidden="1">{"whole",#N/A,FALSE,"Gen_Dist_Act_Bud";"whole",#N/A,FALSE,"Gen_Dist_T3months";"whole",#N/A,FALSE,"GD_PerP";"whole",#N/A,FALSE,"HR Dist'n"}</definedName>
    <definedName name="________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__a6" localSheetId="0" hidden="1">{"whole",#N/A,FALSE,"CS HC";"whole",#N/A,FALSE,"CS_ACTvsBud";"whole",#N/A,FALSE,"CSTrail3mo";"whole",#N/A,FALSE,"CS Cost Per Head ";"whole",#N/A,FALSE,"CS CPH YTD"}</definedName>
    <definedName name="___________a6" localSheetId="3" hidden="1">{"whole",#N/A,FALSE,"CS HC";"whole",#N/A,FALSE,"CS_ACTvsBud";"whole",#N/A,FALSE,"CSTrail3mo";"whole",#N/A,FALSE,"CS Cost Per Head ";"whole",#N/A,FALSE,"CS CPH YTD"}</definedName>
    <definedName name="___________a6" hidden="1">{"whole",#N/A,FALSE,"CS HC";"whole",#N/A,FALSE,"CS_ACTvsBud";"whole",#N/A,FALSE,"CSTrail3mo";"whole",#N/A,FALSE,"CS Cost Per Head ";"whole",#N/A,FALSE,"CS CPH YTD"}</definedName>
    <definedName name="___________a7" localSheetId="0" hidden="1">{"whole",#N/A,FALSE,"CS FIN Sum For Rox";"whole",#N/A,FALSE,"Gen_Dist_Act_Bud";"whole",#N/A,FALSE,"Gen_Dist_T3months";"whole",#N/A,FALSE,"GD_PerP";"whole",#N/A,FALSE,"CS_DIST_ActvsBud";"whole",#N/A,FALSE,"CS_DIST_SUM_trail3mo"}</definedName>
    <definedName name="___________a7" localSheetId="3" hidden="1">{"whole",#N/A,FALSE,"CS FIN Sum For Rox";"whole",#N/A,FALSE,"Gen_Dist_Act_Bud";"whole",#N/A,FALSE,"Gen_Dist_T3months";"whole",#N/A,FALSE,"GD_PerP";"whole",#N/A,FALSE,"CS_DIST_ActvsBud";"whole",#N/A,FALSE,"CS_DIST_SUM_trail3mo"}</definedName>
    <definedName name="___________a7" hidden="1">{"whole",#N/A,FALSE,"CS FIN Sum For Rox";"whole",#N/A,FALSE,"Gen_Dist_Act_Bud";"whole",#N/A,FALSE,"Gen_Dist_T3months";"whole",#N/A,FALSE,"GD_PerP";"whole",#N/A,FALSE,"CS_DIST_ActvsBud";"whole",#N/A,FALSE,"CS_DIST_SUM_trail3mo"}</definedName>
    <definedName name="________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__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_____ab1112" hidden="1">{"whole",#N/A,FALSE,"6701";"whole",#N/A,FALSE,"6702";"whole",#N/A,FALSE,"7710";"whole",#N/A,FALSE,"7714";"whole",#N/A,FALSE,"7729";"whole",#N/A,FALSE,"7730";"whole",#N/A,FALSE,"7731";"whole",#N/A,FALSE,"7736";"whole",#N/A,FALSE,"7737";"whole",#N/A,FALSE,"7738";"whole",#N/A,FALSE,"7743";"Whole",#N/A,FALSE,"7740";"whole",#N/A,FALSE,"7744";"whole",#N/A,FALSE,"7745"}</definedName>
    <definedName name="___________b1" localSheetId="0" hidden="1">{"Chart 1",#N/A,FALSE,"Run Rate";"Chart 2",#N/A,FALSE,"Run Rate (2)"}</definedName>
    <definedName name="___________b1" localSheetId="3" hidden="1">{"Chart 1",#N/A,FALSE,"Run Rate";"Chart 2",#N/A,FALSE,"Run Rate (2)"}</definedName>
    <definedName name="___________b1" hidden="1">{"Chart 1",#N/A,FALSE,"Run Rate";"Chart 2",#N/A,FALSE,"Run Rate (2)"}</definedName>
    <definedName name="________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_w33" localSheetId="0" hidden="1">{"whole",#N/A,FALSE,"Gen_Dist_Act_Bud";"whole",#N/A,FALSE,"Gen_Dist_T3months";"whole",#N/A,FALSE,"GD_PerP";"whole",#N/A,FALSE,"HR Dist'n"}</definedName>
    <definedName name="___________w33" localSheetId="3" hidden="1">{"whole",#N/A,FALSE,"Gen_Dist_Act_Bud";"whole",#N/A,FALSE,"Gen_Dist_T3months";"whole",#N/A,FALSE,"GD_PerP";"whole",#N/A,FALSE,"HR Dist'n"}</definedName>
    <definedName name="___________w33" hidden="1">{"whole",#N/A,FALSE,"Gen_Dist_Act_Bud";"whole",#N/A,FALSE,"Gen_Dist_T3months";"whole",#N/A,FALSE,"GD_PerP";"whole",#N/A,FALSE,"HR Dist'n"}</definedName>
    <definedName name="___________x3" localSheetId="0" hidden="1">{"whole",#N/A,FALSE,"Gen_Dist_Act_Bud";"whole",#N/A,FALSE,"Gen_Dist_T3months";"whole",#N/A,FALSE,"GD_PerP";"whole",#N/A,FALSE,"HR_Dist";"whole",#N/A,FALSE,"CS_DIST_ActvsBud";"whole",#N/A,FALSE,"CS_DIST_SUM_trail3mo";"whole",#N/A,FALSE,"ITG_act_Bud";"whole",#N/A,FALSE,"ITG_T3Mo"}</definedName>
    <definedName name="___________x3" localSheetId="3" hidden="1">{"whole",#N/A,FALSE,"Gen_Dist_Act_Bud";"whole",#N/A,FALSE,"Gen_Dist_T3months";"whole",#N/A,FALSE,"GD_PerP";"whole",#N/A,FALSE,"HR_Dist";"whole",#N/A,FALSE,"CS_DIST_ActvsBud";"whole",#N/A,FALSE,"CS_DIST_SUM_trail3mo";"whole",#N/A,FALSE,"ITG_act_Bud";"whole",#N/A,FALSE,"ITG_T3Mo"}</definedName>
    <definedName name="___________x3" hidden="1">{"whole",#N/A,FALSE,"Gen_Dist_Act_Bud";"whole",#N/A,FALSE,"Gen_Dist_T3months";"whole",#N/A,FALSE,"GD_PerP";"whole",#N/A,FALSE,"HR_Dist";"whole",#N/A,FALSE,"CS_DIST_ActvsBud";"whole",#N/A,FALSE,"CS_DIST_SUM_trail3mo";"whole",#N/A,FALSE,"ITG_act_Bud";"whole",#N/A,FALSE,"ITG_T3Mo"}</definedName>
    <definedName name="________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__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____a1" hidden="1">{"whole",#N/A,FALSE,"6701";"whole",#N/A,FALSE,"6702";"whole",#N/A,FALSE,"7710";"whole",#N/A,FALSE,"7714";"whole",#N/A,FALSE,"7729";"whole",#N/A,FALSE,"7730";"whole",#N/A,FALSE,"7731";"whole",#N/A,FALSE,"7736";"whole",#N/A,FALSE,"7737";"whole",#N/A,FALSE,"7738";"whole",#N/A,FALSE,"7743";"Whole",#N/A,FALSE,"7740";"whole",#N/A,FALSE,"7744";"whole",#N/A,FALSE,"7745"}</definedName>
    <definedName name="________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a4" localSheetId="0" hidden="1">{"whole",#N/A,FALSE,"Gen_Dist_Act_Bud";"whole",#N/A,FALSE,"Gen_Dist_T3months";"whole",#N/A,FALSE,"GD_PerP";"whole",#N/A,FALSE,"HR Dist'n"}</definedName>
    <definedName name="__________a4" localSheetId="3" hidden="1">{"whole",#N/A,FALSE,"Gen_Dist_Act_Bud";"whole",#N/A,FALSE,"Gen_Dist_T3months";"whole",#N/A,FALSE,"GD_PerP";"whole",#N/A,FALSE,"HR Dist'n"}</definedName>
    <definedName name="__________a4" hidden="1">{"whole",#N/A,FALSE,"Gen_Dist_Act_Bud";"whole",#N/A,FALSE,"Gen_Dist_T3months";"whole",#N/A,FALSE,"GD_PerP";"whole",#N/A,FALSE,"HR Dist'n"}</definedName>
    <definedName name="_______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_a6" localSheetId="0" hidden="1">{"whole",#N/A,FALSE,"CS HC";"whole",#N/A,FALSE,"CS_ACTvsBud";"whole",#N/A,FALSE,"CSTrail3mo";"whole",#N/A,FALSE,"CS Cost Per Head ";"whole",#N/A,FALSE,"CS CPH YTD"}</definedName>
    <definedName name="__________a6" localSheetId="3" hidden="1">{"whole",#N/A,FALSE,"CS HC";"whole",#N/A,FALSE,"CS_ACTvsBud";"whole",#N/A,FALSE,"CSTrail3mo";"whole",#N/A,FALSE,"CS Cost Per Head ";"whole",#N/A,FALSE,"CS CPH YTD"}</definedName>
    <definedName name="__________a6" hidden="1">{"whole",#N/A,FALSE,"CS HC";"whole",#N/A,FALSE,"CS_ACTvsBud";"whole",#N/A,FALSE,"CSTrail3mo";"whole",#N/A,FALSE,"CS Cost Per Head ";"whole",#N/A,FALSE,"CS CPH YTD"}</definedName>
    <definedName name="__________a7" localSheetId="0" hidden="1">{"whole",#N/A,FALSE,"CS FIN Sum For Rox";"whole",#N/A,FALSE,"Gen_Dist_Act_Bud";"whole",#N/A,FALSE,"Gen_Dist_T3months";"whole",#N/A,FALSE,"GD_PerP";"whole",#N/A,FALSE,"CS_DIST_ActvsBud";"whole",#N/A,FALSE,"CS_DIST_SUM_trail3mo"}</definedName>
    <definedName name="__________a7" localSheetId="3" hidden="1">{"whole",#N/A,FALSE,"CS FIN Sum For Rox";"whole",#N/A,FALSE,"Gen_Dist_Act_Bud";"whole",#N/A,FALSE,"Gen_Dist_T3months";"whole",#N/A,FALSE,"GD_PerP";"whole",#N/A,FALSE,"CS_DIST_ActvsBud";"whole",#N/A,FALSE,"CS_DIST_SUM_trail3mo"}</definedName>
    <definedName name="__________a7" hidden="1">{"whole",#N/A,FALSE,"CS FIN Sum For Rox";"whole",#N/A,FALSE,"Gen_Dist_Act_Bud";"whole",#N/A,FALSE,"Gen_Dist_T3months";"whole",#N/A,FALSE,"GD_PerP";"whole",#N/A,FALSE,"CS_DIST_ActvsBud";"whole",#N/A,FALSE,"CS_DIST_SUM_trail3mo"}</definedName>
    <definedName name="_______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_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____ab1112" hidden="1">{"whole",#N/A,FALSE,"6701";"whole",#N/A,FALSE,"6702";"whole",#N/A,FALSE,"7710";"whole",#N/A,FALSE,"7714";"whole",#N/A,FALSE,"7729";"whole",#N/A,FALSE,"7730";"whole",#N/A,FALSE,"7731";"whole",#N/A,FALSE,"7736";"whole",#N/A,FALSE,"7737";"whole",#N/A,FALSE,"7738";"whole",#N/A,FALSE,"7743";"Whole",#N/A,FALSE,"7740";"whole",#N/A,FALSE,"7744";"whole",#N/A,FALSE,"7745"}</definedName>
    <definedName name="__________b1" localSheetId="0" hidden="1">{"Chart 1",#N/A,FALSE,"Run Rate";"Chart 2",#N/A,FALSE,"Run Rate (2)"}</definedName>
    <definedName name="__________b1" localSheetId="3" hidden="1">{"Chart 1",#N/A,FALSE,"Run Rate";"Chart 2",#N/A,FALSE,"Run Rate (2)"}</definedName>
    <definedName name="__________b1" hidden="1">{"Chart 1",#N/A,FALSE,"Run Rate";"Chart 2",#N/A,FALSE,"Run Rate (2)"}</definedName>
    <definedName name="_______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_w33" localSheetId="0" hidden="1">{"whole",#N/A,FALSE,"Gen_Dist_Act_Bud";"whole",#N/A,FALSE,"Gen_Dist_T3months";"whole",#N/A,FALSE,"GD_PerP";"whole",#N/A,FALSE,"HR Dist'n"}</definedName>
    <definedName name="__________w33" localSheetId="3" hidden="1">{"whole",#N/A,FALSE,"Gen_Dist_Act_Bud";"whole",#N/A,FALSE,"Gen_Dist_T3months";"whole",#N/A,FALSE,"GD_PerP";"whole",#N/A,FALSE,"HR Dist'n"}</definedName>
    <definedName name="__________w33" hidden="1">{"whole",#N/A,FALSE,"Gen_Dist_Act_Bud";"whole",#N/A,FALSE,"Gen_Dist_T3months";"whole",#N/A,FALSE,"GD_PerP";"whole",#N/A,FALSE,"HR Dist'n"}</definedName>
    <definedName name="__________x3" localSheetId="0" hidden="1">{"whole",#N/A,FALSE,"Gen_Dist_Act_Bud";"whole",#N/A,FALSE,"Gen_Dist_T3months";"whole",#N/A,FALSE,"GD_PerP";"whole",#N/A,FALSE,"HR_Dist";"whole",#N/A,FALSE,"CS_DIST_ActvsBud";"whole",#N/A,FALSE,"CS_DIST_SUM_trail3mo";"whole",#N/A,FALSE,"ITG_act_Bud";"whole",#N/A,FALSE,"ITG_T3Mo"}</definedName>
    <definedName name="__________x3" localSheetId="3" hidden="1">{"whole",#N/A,FALSE,"Gen_Dist_Act_Bud";"whole",#N/A,FALSE,"Gen_Dist_T3months";"whole",#N/A,FALSE,"GD_PerP";"whole",#N/A,FALSE,"HR_Dist";"whole",#N/A,FALSE,"CS_DIST_ActvsBud";"whole",#N/A,FALSE,"CS_DIST_SUM_trail3mo";"whole",#N/A,FALSE,"ITG_act_Bud";"whole",#N/A,FALSE,"ITG_T3Mo"}</definedName>
    <definedName name="__________x3" hidden="1">{"whole",#N/A,FALSE,"Gen_Dist_Act_Bud";"whole",#N/A,FALSE,"Gen_Dist_T3months";"whole",#N/A,FALSE,"GD_PerP";"whole",#N/A,FALSE,"HR_Dist";"whole",#N/A,FALSE,"CS_DIST_ActvsBud";"whole",#N/A,FALSE,"CS_DIST_SUM_trail3mo";"whole",#N/A,FALSE,"ITG_act_Bud";"whole",#N/A,FALSE,"ITG_T3Mo"}</definedName>
    <definedName name="_______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_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___a1" hidden="1">{"whole",#N/A,FALSE,"6701";"whole",#N/A,FALSE,"6702";"whole",#N/A,FALSE,"7710";"whole",#N/A,FALSE,"7714";"whole",#N/A,FALSE,"7729";"whole",#N/A,FALSE,"7730";"whole",#N/A,FALSE,"7731";"whole",#N/A,FALSE,"7736";"whole",#N/A,FALSE,"7737";"whole",#N/A,FALSE,"7738";"whole",#N/A,FALSE,"7743";"Whole",#N/A,FALSE,"7740";"whole",#N/A,FALSE,"7744";"whole",#N/A,FALSE,"7745"}</definedName>
    <definedName name="_______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a4" localSheetId="0" hidden="1">{"whole",#N/A,FALSE,"Gen_Dist_Act_Bud";"whole",#N/A,FALSE,"Gen_Dist_T3months";"whole",#N/A,FALSE,"GD_PerP";"whole",#N/A,FALSE,"HR Dist'n"}</definedName>
    <definedName name="_________a4" localSheetId="3" hidden="1">{"whole",#N/A,FALSE,"Gen_Dist_Act_Bud";"whole",#N/A,FALSE,"Gen_Dist_T3months";"whole",#N/A,FALSE,"GD_PerP";"whole",#N/A,FALSE,"HR Dist'n"}</definedName>
    <definedName name="_________a4" hidden="1">{"whole",#N/A,FALSE,"Gen_Dist_Act_Bud";"whole",#N/A,FALSE,"Gen_Dist_T3months";"whole",#N/A,FALSE,"GD_PerP";"whole",#N/A,FALSE,"HR Dist'n"}</definedName>
    <definedName name="______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__a6" localSheetId="0" hidden="1">{"whole",#N/A,FALSE,"CS HC";"whole",#N/A,FALSE,"CS_ACTvsBud";"whole",#N/A,FALSE,"CSTrail3mo";"whole",#N/A,FALSE,"CS Cost Per Head ";"whole",#N/A,FALSE,"CS CPH YTD"}</definedName>
    <definedName name="_________a6" localSheetId="3" hidden="1">{"whole",#N/A,FALSE,"CS HC";"whole",#N/A,FALSE,"CS_ACTvsBud";"whole",#N/A,FALSE,"CSTrail3mo";"whole",#N/A,FALSE,"CS Cost Per Head ";"whole",#N/A,FALSE,"CS CPH YTD"}</definedName>
    <definedName name="_________a6" hidden="1">{"whole",#N/A,FALSE,"CS HC";"whole",#N/A,FALSE,"CS_ACTvsBud";"whole",#N/A,FALSE,"CSTrail3mo";"whole",#N/A,FALSE,"CS Cost Per Head ";"whole",#N/A,FALSE,"CS CPH YTD"}</definedName>
    <definedName name="_________a7" localSheetId="0" hidden="1">{"whole",#N/A,FALSE,"CS FIN Sum For Rox";"whole",#N/A,FALSE,"Gen_Dist_Act_Bud";"whole",#N/A,FALSE,"Gen_Dist_T3months";"whole",#N/A,FALSE,"GD_PerP";"whole",#N/A,FALSE,"CS_DIST_ActvsBud";"whole",#N/A,FALSE,"CS_DIST_SUM_trail3mo"}</definedName>
    <definedName name="_________a7" localSheetId="3" hidden="1">{"whole",#N/A,FALSE,"CS FIN Sum For Rox";"whole",#N/A,FALSE,"Gen_Dist_Act_Bud";"whole",#N/A,FALSE,"Gen_Dist_T3months";"whole",#N/A,FALSE,"GD_PerP";"whole",#N/A,FALSE,"CS_DIST_ActvsBud";"whole",#N/A,FALSE,"CS_DIST_SUM_trail3mo"}</definedName>
    <definedName name="_________a7" hidden="1">{"whole",#N/A,FALSE,"CS FIN Sum For Rox";"whole",#N/A,FALSE,"Gen_Dist_Act_Bud";"whole",#N/A,FALSE,"Gen_Dist_T3months";"whole",#N/A,FALSE,"GD_PerP";"whole",#N/A,FALSE,"CS_DIST_ActvsBud";"whole",#N/A,FALSE,"CS_DIST_SUM_trail3mo"}</definedName>
    <definedName name="______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___ab1112" hidden="1">{"whole",#N/A,FALSE,"6701";"whole",#N/A,FALSE,"6702";"whole",#N/A,FALSE,"7710";"whole",#N/A,FALSE,"7714";"whole",#N/A,FALSE,"7729";"whole",#N/A,FALSE,"7730";"whole",#N/A,FALSE,"7731";"whole",#N/A,FALSE,"7736";"whole",#N/A,FALSE,"7737";"whole",#N/A,FALSE,"7738";"whole",#N/A,FALSE,"7743";"Whole",#N/A,FALSE,"7740";"whole",#N/A,FALSE,"7744";"whole",#N/A,FALSE,"7745"}</definedName>
    <definedName name="_________b1" localSheetId="0" hidden="1">{"Chart 1",#N/A,FALSE,"Run Rate";"Chart 2",#N/A,FALSE,"Run Rate (2)"}</definedName>
    <definedName name="_________b1" localSheetId="3" hidden="1">{"Chart 1",#N/A,FALSE,"Run Rate";"Chart 2",#N/A,FALSE,"Run Rate (2)"}</definedName>
    <definedName name="_________b1" hidden="1">{"Chart 1",#N/A,FALSE,"Run Rate";"Chart 2",#N/A,FALSE,"Run Rate (2)"}</definedName>
    <definedName name="______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__w33" localSheetId="0" hidden="1">{"whole",#N/A,FALSE,"Gen_Dist_Act_Bud";"whole",#N/A,FALSE,"Gen_Dist_T3months";"whole",#N/A,FALSE,"GD_PerP";"whole",#N/A,FALSE,"HR Dist'n"}</definedName>
    <definedName name="_________w33" localSheetId="3" hidden="1">{"whole",#N/A,FALSE,"Gen_Dist_Act_Bud";"whole",#N/A,FALSE,"Gen_Dist_T3months";"whole",#N/A,FALSE,"GD_PerP";"whole",#N/A,FALSE,"HR Dist'n"}</definedName>
    <definedName name="_________w33" hidden="1">{"whole",#N/A,FALSE,"Gen_Dist_Act_Bud";"whole",#N/A,FALSE,"Gen_Dist_T3months";"whole",#N/A,FALSE,"GD_PerP";"whole",#N/A,FALSE,"HR Dist'n"}</definedName>
    <definedName name="_________x3" localSheetId="0" hidden="1">{"whole",#N/A,FALSE,"Gen_Dist_Act_Bud";"whole",#N/A,FALSE,"Gen_Dist_T3months";"whole",#N/A,FALSE,"GD_PerP";"whole",#N/A,FALSE,"HR_Dist";"whole",#N/A,FALSE,"CS_DIST_ActvsBud";"whole",#N/A,FALSE,"CS_DIST_SUM_trail3mo";"whole",#N/A,FALSE,"ITG_act_Bud";"whole",#N/A,FALSE,"ITG_T3Mo"}</definedName>
    <definedName name="_________x3" localSheetId="3" hidden="1">{"whole",#N/A,FALSE,"Gen_Dist_Act_Bud";"whole",#N/A,FALSE,"Gen_Dist_T3months";"whole",#N/A,FALSE,"GD_PerP";"whole",#N/A,FALSE,"HR_Dist";"whole",#N/A,FALSE,"CS_DIST_ActvsBud";"whole",#N/A,FALSE,"CS_DIST_SUM_trail3mo";"whole",#N/A,FALSE,"ITG_act_Bud";"whole",#N/A,FALSE,"ITG_T3Mo"}</definedName>
    <definedName name="_________x3" hidden="1">{"whole",#N/A,FALSE,"Gen_Dist_Act_Bud";"whole",#N/A,FALSE,"Gen_Dist_T3months";"whole",#N/A,FALSE,"GD_PerP";"whole",#N/A,FALSE,"HR_Dist";"whole",#N/A,FALSE,"CS_DIST_ActvsBud";"whole",#N/A,FALSE,"CS_DIST_SUM_trail3mo";"whole",#N/A,FALSE,"ITG_act_Bud";"whole",#N/A,FALSE,"ITG_T3Mo"}</definedName>
    <definedName name="_____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_a1" hidden="1">{"whole",#N/A,FALSE,"6701";"whole",#N/A,FALSE,"6702";"whole",#N/A,FALSE,"7710";"whole",#N/A,FALSE,"7714";"whole",#N/A,FALSE,"7729";"whole",#N/A,FALSE,"7730";"whole",#N/A,FALSE,"7731";"whole",#N/A,FALSE,"7736";"whole",#N/A,FALSE,"7737";"whole",#N/A,FALSE,"7738";"whole",#N/A,FALSE,"7743";"Whole",#N/A,FALSE,"7740";"whole",#N/A,FALSE,"7744";"whole",#N/A,FALSE,"7745"}</definedName>
    <definedName name="_____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a4" localSheetId="0" hidden="1">{"whole",#N/A,FALSE,"Gen_Dist_Act_Bud";"whole",#N/A,FALSE,"Gen_Dist_T3months";"whole",#N/A,FALSE,"GD_PerP";"whole",#N/A,FALSE,"HR Dist'n"}</definedName>
    <definedName name="_______a4" localSheetId="3" hidden="1">{"whole",#N/A,FALSE,"Gen_Dist_Act_Bud";"whole",#N/A,FALSE,"Gen_Dist_T3months";"whole",#N/A,FALSE,"GD_PerP";"whole",#N/A,FALSE,"HR Dist'n"}</definedName>
    <definedName name="_______a4" hidden="1">{"whole",#N/A,FALSE,"Gen_Dist_Act_Bud";"whole",#N/A,FALSE,"Gen_Dist_T3months";"whole",#N/A,FALSE,"GD_PerP";"whole",#N/A,FALSE,"HR Dist'n"}</definedName>
    <definedName name="____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_a6" localSheetId="0" hidden="1">{"whole",#N/A,FALSE,"CS HC";"whole",#N/A,FALSE,"CS_ACTvsBud";"whole",#N/A,FALSE,"CSTrail3mo";"whole",#N/A,FALSE,"CS Cost Per Head ";"whole",#N/A,FALSE,"CS CPH YTD"}</definedName>
    <definedName name="_______a6" localSheetId="3" hidden="1">{"whole",#N/A,FALSE,"CS HC";"whole",#N/A,FALSE,"CS_ACTvsBud";"whole",#N/A,FALSE,"CSTrail3mo";"whole",#N/A,FALSE,"CS Cost Per Head ";"whole",#N/A,FALSE,"CS CPH YTD"}</definedName>
    <definedName name="_______a6" hidden="1">{"whole",#N/A,FALSE,"CS HC";"whole",#N/A,FALSE,"CS_ACTvsBud";"whole",#N/A,FALSE,"CSTrail3mo";"whole",#N/A,FALSE,"CS Cost Per Head ";"whole",#N/A,FALSE,"CS CPH YTD"}</definedName>
    <definedName name="_______a7" localSheetId="0" hidden="1">{"whole",#N/A,FALSE,"CS FIN Sum For Rox";"whole",#N/A,FALSE,"Gen_Dist_Act_Bud";"whole",#N/A,FALSE,"Gen_Dist_T3months";"whole",#N/A,FALSE,"GD_PerP";"whole",#N/A,FALSE,"CS_DIST_ActvsBud";"whole",#N/A,FALSE,"CS_DIST_SUM_trail3mo"}</definedName>
    <definedName name="_______a7" localSheetId="3" hidden="1">{"whole",#N/A,FALSE,"CS FIN Sum For Rox";"whole",#N/A,FALSE,"Gen_Dist_Act_Bud";"whole",#N/A,FALSE,"Gen_Dist_T3months";"whole",#N/A,FALSE,"GD_PerP";"whole",#N/A,FALSE,"CS_DIST_ActvsBud";"whole",#N/A,FALSE,"CS_DIST_SUM_trail3mo"}</definedName>
    <definedName name="_______a7" hidden="1">{"whole",#N/A,FALSE,"CS FIN Sum For Rox";"whole",#N/A,FALSE,"Gen_Dist_Act_Bud";"whole",#N/A,FALSE,"Gen_Dist_T3months";"whole",#N/A,FALSE,"GD_PerP";"whole",#N/A,FALSE,"CS_DIST_ActvsBud";"whole",#N/A,FALSE,"CS_DIST_SUM_trail3mo"}</definedName>
    <definedName name="____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_ab1112" hidden="1">{"whole",#N/A,FALSE,"6701";"whole",#N/A,FALSE,"6702";"whole",#N/A,FALSE,"7710";"whole",#N/A,FALSE,"7714";"whole",#N/A,FALSE,"7729";"whole",#N/A,FALSE,"7730";"whole",#N/A,FALSE,"7731";"whole",#N/A,FALSE,"7736";"whole",#N/A,FALSE,"7737";"whole",#N/A,FALSE,"7738";"whole",#N/A,FALSE,"7743";"Whole",#N/A,FALSE,"7740";"whole",#N/A,FALSE,"7744";"whole",#N/A,FALSE,"7745"}</definedName>
    <definedName name="_______b1" localSheetId="0" hidden="1">{"Chart 1",#N/A,FALSE,"Run Rate";"Chart 2",#N/A,FALSE,"Run Rate (2)"}</definedName>
    <definedName name="_______b1" localSheetId="3" hidden="1">{"Chart 1",#N/A,FALSE,"Run Rate";"Chart 2",#N/A,FALSE,"Run Rate (2)"}</definedName>
    <definedName name="_______b1" hidden="1">{"Chart 1",#N/A,FALSE,"Run Rate";"Chart 2",#N/A,FALSE,"Run Rate (2)"}</definedName>
    <definedName name="____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_w33" localSheetId="0" hidden="1">{"whole",#N/A,FALSE,"Gen_Dist_Act_Bud";"whole",#N/A,FALSE,"Gen_Dist_T3months";"whole",#N/A,FALSE,"GD_PerP";"whole",#N/A,FALSE,"HR Dist'n"}</definedName>
    <definedName name="_______w33" localSheetId="3" hidden="1">{"whole",#N/A,FALSE,"Gen_Dist_Act_Bud";"whole",#N/A,FALSE,"Gen_Dist_T3months";"whole",#N/A,FALSE,"GD_PerP";"whole",#N/A,FALSE,"HR Dist'n"}</definedName>
    <definedName name="_______w33" hidden="1">{"whole",#N/A,FALSE,"Gen_Dist_Act_Bud";"whole",#N/A,FALSE,"Gen_Dist_T3months";"whole",#N/A,FALSE,"GD_PerP";"whole",#N/A,FALSE,"HR Dist'n"}</definedName>
    <definedName name="_______x3" localSheetId="0" hidden="1">{"whole",#N/A,FALSE,"Gen_Dist_Act_Bud";"whole",#N/A,FALSE,"Gen_Dist_T3months";"whole",#N/A,FALSE,"GD_PerP";"whole",#N/A,FALSE,"HR_Dist";"whole",#N/A,FALSE,"CS_DIST_ActvsBud";"whole",#N/A,FALSE,"CS_DIST_SUM_trail3mo";"whole",#N/A,FALSE,"ITG_act_Bud";"whole",#N/A,FALSE,"ITG_T3Mo"}</definedName>
    <definedName name="_______x3" localSheetId="3" hidden="1">{"whole",#N/A,FALSE,"Gen_Dist_Act_Bud";"whole",#N/A,FALSE,"Gen_Dist_T3months";"whole",#N/A,FALSE,"GD_PerP";"whole",#N/A,FALSE,"HR_Dist";"whole",#N/A,FALSE,"CS_DIST_ActvsBud";"whole",#N/A,FALSE,"CS_DIST_SUM_trail3mo";"whole",#N/A,FALSE,"ITG_act_Bud";"whole",#N/A,FALSE,"ITG_T3Mo"}</definedName>
    <definedName name="_______x3" hidden="1">{"whole",#N/A,FALSE,"Gen_Dist_Act_Bud";"whole",#N/A,FALSE,"Gen_Dist_T3months";"whole",#N/A,FALSE,"GD_PerP";"whole",#N/A,FALSE,"HR_Dist";"whole",#N/A,FALSE,"CS_DIST_ActvsBud";"whole",#N/A,FALSE,"CS_DIST_SUM_trail3mo";"whole",#N/A,FALSE,"ITG_act_Bud";"whole",#N/A,FALSE,"ITG_T3Mo"}</definedName>
    <definedName name="____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a1" hidden="1">{"whole",#N/A,FALSE,"6701";"whole",#N/A,FALSE,"6702";"whole",#N/A,FALSE,"7710";"whole",#N/A,FALSE,"7714";"whole",#N/A,FALSE,"7729";"whole",#N/A,FALSE,"7730";"whole",#N/A,FALSE,"7731";"whole",#N/A,FALSE,"7736";"whole",#N/A,FALSE,"7737";"whole",#N/A,FALSE,"7738";"whole",#N/A,FALSE,"7743";"Whole",#N/A,FALSE,"7740";"whole",#N/A,FALSE,"7744";"whole",#N/A,FALSE,"7745"}</definedName>
    <definedName name="____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a4" localSheetId="0" hidden="1">{"whole",#N/A,FALSE,"Gen_Dist_Act_Bud";"whole",#N/A,FALSE,"Gen_Dist_T3months";"whole",#N/A,FALSE,"GD_PerP";"whole",#N/A,FALSE,"HR Dist'n"}</definedName>
    <definedName name="______a4" localSheetId="3" hidden="1">{"whole",#N/A,FALSE,"Gen_Dist_Act_Bud";"whole",#N/A,FALSE,"Gen_Dist_T3months";"whole",#N/A,FALSE,"GD_PerP";"whole",#N/A,FALSE,"HR Dist'n"}</definedName>
    <definedName name="______a4" hidden="1">{"whole",#N/A,FALSE,"Gen_Dist_Act_Bud";"whole",#N/A,FALSE,"Gen_Dist_T3months";"whole",#N/A,FALSE,"GD_PerP";"whole",#N/A,FALSE,"HR Dist'n"}</definedName>
    <definedName name="___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_a6" localSheetId="0" hidden="1">{"whole",#N/A,FALSE,"CS HC";"whole",#N/A,FALSE,"CS_ACTvsBud";"whole",#N/A,FALSE,"CSTrail3mo";"whole",#N/A,FALSE,"CS Cost Per Head ";"whole",#N/A,FALSE,"CS CPH YTD"}</definedName>
    <definedName name="______a6" localSheetId="3" hidden="1">{"whole",#N/A,FALSE,"CS HC";"whole",#N/A,FALSE,"CS_ACTvsBud";"whole",#N/A,FALSE,"CSTrail3mo";"whole",#N/A,FALSE,"CS Cost Per Head ";"whole",#N/A,FALSE,"CS CPH YTD"}</definedName>
    <definedName name="______a6" hidden="1">{"whole",#N/A,FALSE,"CS HC";"whole",#N/A,FALSE,"CS_ACTvsBud";"whole",#N/A,FALSE,"CSTrail3mo";"whole",#N/A,FALSE,"CS Cost Per Head ";"whole",#N/A,FALSE,"CS CPH YTD"}</definedName>
    <definedName name="______a7" localSheetId="0" hidden="1">{"whole",#N/A,FALSE,"CS FIN Sum For Rox";"whole",#N/A,FALSE,"Gen_Dist_Act_Bud";"whole",#N/A,FALSE,"Gen_Dist_T3months";"whole",#N/A,FALSE,"GD_PerP";"whole",#N/A,FALSE,"CS_DIST_ActvsBud";"whole",#N/A,FALSE,"CS_DIST_SUM_trail3mo"}</definedName>
    <definedName name="______a7" localSheetId="3" hidden="1">{"whole",#N/A,FALSE,"CS FIN Sum For Rox";"whole",#N/A,FALSE,"Gen_Dist_Act_Bud";"whole",#N/A,FALSE,"Gen_Dist_T3months";"whole",#N/A,FALSE,"GD_PerP";"whole",#N/A,FALSE,"CS_DIST_ActvsBud";"whole",#N/A,FALSE,"CS_DIST_SUM_trail3mo"}</definedName>
    <definedName name="______a7" hidden="1">{"whole",#N/A,FALSE,"CS FIN Sum For Rox";"whole",#N/A,FALSE,"Gen_Dist_Act_Bud";"whole",#N/A,FALSE,"Gen_Dist_T3months";"whole",#N/A,FALSE,"GD_PerP";"whole",#N/A,FALSE,"CS_DIST_ActvsBud";"whole",#N/A,FALSE,"CS_DIST_SUM_trail3mo"}</definedName>
    <definedName name="___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___ab1112" hidden="1">{"whole",#N/A,FALSE,"6701";"whole",#N/A,FALSE,"6702";"whole",#N/A,FALSE,"7710";"whole",#N/A,FALSE,"7714";"whole",#N/A,FALSE,"7729";"whole",#N/A,FALSE,"7730";"whole",#N/A,FALSE,"7731";"whole",#N/A,FALSE,"7736";"whole",#N/A,FALSE,"7737";"whole",#N/A,FALSE,"7738";"whole",#N/A,FALSE,"7743";"Whole",#N/A,FALSE,"7740";"whole",#N/A,FALSE,"7744";"whole",#N/A,FALSE,"7745"}</definedName>
    <definedName name="______b1" localSheetId="0" hidden="1">{"Chart 1",#N/A,FALSE,"Run Rate";"Chart 2",#N/A,FALSE,"Run Rate (2)"}</definedName>
    <definedName name="______b1" localSheetId="3" hidden="1">{"Chart 1",#N/A,FALSE,"Run Rate";"Chart 2",#N/A,FALSE,"Run Rate (2)"}</definedName>
    <definedName name="______b1" hidden="1">{"Chart 1",#N/A,FALSE,"Run Rate";"Chart 2",#N/A,FALSE,"Run Rate (2)"}</definedName>
    <definedName name="___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_w33" localSheetId="0" hidden="1">{"whole",#N/A,FALSE,"Gen_Dist_Act_Bud";"whole",#N/A,FALSE,"Gen_Dist_T3months";"whole",#N/A,FALSE,"GD_PerP";"whole",#N/A,FALSE,"HR Dist'n"}</definedName>
    <definedName name="______w33" localSheetId="3" hidden="1">{"whole",#N/A,FALSE,"Gen_Dist_Act_Bud";"whole",#N/A,FALSE,"Gen_Dist_T3months";"whole",#N/A,FALSE,"GD_PerP";"whole",#N/A,FALSE,"HR Dist'n"}</definedName>
    <definedName name="______w33" hidden="1">{"whole",#N/A,FALSE,"Gen_Dist_Act_Bud";"whole",#N/A,FALSE,"Gen_Dist_T3months";"whole",#N/A,FALSE,"GD_PerP";"whole",#N/A,FALSE,"HR Dist'n"}</definedName>
    <definedName name="______x3" localSheetId="0" hidden="1">{"whole",#N/A,FALSE,"Gen_Dist_Act_Bud";"whole",#N/A,FALSE,"Gen_Dist_T3months";"whole",#N/A,FALSE,"GD_PerP";"whole",#N/A,FALSE,"HR_Dist";"whole",#N/A,FALSE,"CS_DIST_ActvsBud";"whole",#N/A,FALSE,"CS_DIST_SUM_trail3mo";"whole",#N/A,FALSE,"ITG_act_Bud";"whole",#N/A,FALSE,"ITG_T3Mo"}</definedName>
    <definedName name="______x3" localSheetId="3" hidden="1">{"whole",#N/A,FALSE,"Gen_Dist_Act_Bud";"whole",#N/A,FALSE,"Gen_Dist_T3months";"whole",#N/A,FALSE,"GD_PerP";"whole",#N/A,FALSE,"HR_Dist";"whole",#N/A,FALSE,"CS_DIST_ActvsBud";"whole",#N/A,FALSE,"CS_DIST_SUM_trail3mo";"whole",#N/A,FALSE,"ITG_act_Bud";"whole",#N/A,FALSE,"ITG_T3Mo"}</definedName>
    <definedName name="______x3" hidden="1">{"whole",#N/A,FALSE,"Gen_Dist_Act_Bud";"whole",#N/A,FALSE,"Gen_Dist_T3months";"whole",#N/A,FALSE,"GD_PerP";"whole",#N/A,FALSE,"HR_Dist";"whole",#N/A,FALSE,"CS_DIST_ActvsBud";"whole",#N/A,FALSE,"CS_DIST_SUM_trail3mo";"whole",#N/A,FALSE,"ITG_act_Bud";"whole",#N/A,FALSE,"ITG_T3Mo"}</definedName>
    <definedName name="___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_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___a1" hidden="1">{"whole",#N/A,FALSE,"6701";"whole",#N/A,FALSE,"6702";"whole",#N/A,FALSE,"7710";"whole",#N/A,FALSE,"7714";"whole",#N/A,FALSE,"7729";"whole",#N/A,FALSE,"7730";"whole",#N/A,FALSE,"7731";"whole",#N/A,FALSE,"7736";"whole",#N/A,FALSE,"7737";"whole",#N/A,FALSE,"7738";"whole",#N/A,FALSE,"7743";"Whole",#N/A,FALSE,"7740";"whole",#N/A,FALSE,"7744";"whole",#N/A,FALSE,"7745"}</definedName>
    <definedName name="___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a4" localSheetId="0" hidden="1">{"whole",#N/A,FALSE,"Gen_Dist_Act_Bud";"whole",#N/A,FALSE,"Gen_Dist_T3months";"whole",#N/A,FALSE,"GD_PerP";"whole",#N/A,FALSE,"HR Dist'n"}</definedName>
    <definedName name="_____a4" localSheetId="3" hidden="1">{"whole",#N/A,FALSE,"Gen_Dist_Act_Bud";"whole",#N/A,FALSE,"Gen_Dist_T3months";"whole",#N/A,FALSE,"GD_PerP";"whole",#N/A,FALSE,"HR Dist'n"}</definedName>
    <definedName name="_____a4" hidden="1">{"whole",#N/A,FALSE,"Gen_Dist_Act_Bud";"whole",#N/A,FALSE,"Gen_Dist_T3months";"whole",#N/A,FALSE,"GD_PerP";"whole",#N/A,FALSE,"HR Dist'n"}</definedName>
    <definedName name="__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_a6" localSheetId="0" hidden="1">{"whole",#N/A,FALSE,"CS HC";"whole",#N/A,FALSE,"CS_ACTvsBud";"whole",#N/A,FALSE,"CSTrail3mo";"whole",#N/A,FALSE,"CS Cost Per Head ";"whole",#N/A,FALSE,"CS CPH YTD"}</definedName>
    <definedName name="_____a6" localSheetId="3" hidden="1">{"whole",#N/A,FALSE,"CS HC";"whole",#N/A,FALSE,"CS_ACTvsBud";"whole",#N/A,FALSE,"CSTrail3mo";"whole",#N/A,FALSE,"CS Cost Per Head ";"whole",#N/A,FALSE,"CS CPH YTD"}</definedName>
    <definedName name="_____a6" hidden="1">{"whole",#N/A,FALSE,"CS HC";"whole",#N/A,FALSE,"CS_ACTvsBud";"whole",#N/A,FALSE,"CSTrail3mo";"whole",#N/A,FALSE,"CS Cost Per Head ";"whole",#N/A,FALSE,"CS CPH YTD"}</definedName>
    <definedName name="_____a7" localSheetId="0" hidden="1">{"whole",#N/A,FALSE,"CS FIN Sum For Rox";"whole",#N/A,FALSE,"Gen_Dist_Act_Bud";"whole",#N/A,FALSE,"Gen_Dist_T3months";"whole",#N/A,FALSE,"GD_PerP";"whole",#N/A,FALSE,"CS_DIST_ActvsBud";"whole",#N/A,FALSE,"CS_DIST_SUM_trail3mo"}</definedName>
    <definedName name="_____a7" localSheetId="3" hidden="1">{"whole",#N/A,FALSE,"CS FIN Sum For Rox";"whole",#N/A,FALSE,"Gen_Dist_Act_Bud";"whole",#N/A,FALSE,"Gen_Dist_T3months";"whole",#N/A,FALSE,"GD_PerP";"whole",#N/A,FALSE,"CS_DIST_ActvsBud";"whole",#N/A,FALSE,"CS_DIST_SUM_trail3mo"}</definedName>
    <definedName name="_____a7" hidden="1">{"whole",#N/A,FALSE,"CS FIN Sum For Rox";"whole",#N/A,FALSE,"Gen_Dist_Act_Bud";"whole",#N/A,FALSE,"Gen_Dist_T3months";"whole",#N/A,FALSE,"GD_PerP";"whole",#N/A,FALSE,"CS_DIST_ActvsBud";"whole",#N/A,FALSE,"CS_DIST_SUM_trail3mo"}</definedName>
    <definedName name="__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__ab1112" hidden="1">{"whole",#N/A,FALSE,"6701";"whole",#N/A,FALSE,"6702";"whole",#N/A,FALSE,"7710";"whole",#N/A,FALSE,"7714";"whole",#N/A,FALSE,"7729";"whole",#N/A,FALSE,"7730";"whole",#N/A,FALSE,"7731";"whole",#N/A,FALSE,"7736";"whole",#N/A,FALSE,"7737";"whole",#N/A,FALSE,"7738";"whole",#N/A,FALSE,"7743";"Whole",#N/A,FALSE,"7740";"whole",#N/A,FALSE,"7744";"whole",#N/A,FALSE,"7745"}</definedName>
    <definedName name="_____b1" localSheetId="0" hidden="1">{"Chart 1",#N/A,FALSE,"Run Rate";"Chart 2",#N/A,FALSE,"Run Rate (2)"}</definedName>
    <definedName name="_____b1" localSheetId="3" hidden="1">{"Chart 1",#N/A,FALSE,"Run Rate";"Chart 2",#N/A,FALSE,"Run Rate (2)"}</definedName>
    <definedName name="_____b1" hidden="1">{"Chart 1",#N/A,FALSE,"Run Rate";"Chart 2",#N/A,FALSE,"Run Rate (2)"}</definedName>
    <definedName name="__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_w33" localSheetId="0" hidden="1">{"whole",#N/A,FALSE,"Gen_Dist_Act_Bud";"whole",#N/A,FALSE,"Gen_Dist_T3months";"whole",#N/A,FALSE,"GD_PerP";"whole",#N/A,FALSE,"HR Dist'n"}</definedName>
    <definedName name="_____w33" localSheetId="3" hidden="1">{"whole",#N/A,FALSE,"Gen_Dist_Act_Bud";"whole",#N/A,FALSE,"Gen_Dist_T3months";"whole",#N/A,FALSE,"GD_PerP";"whole",#N/A,FALSE,"HR Dist'n"}</definedName>
    <definedName name="_____w33" hidden="1">{"whole",#N/A,FALSE,"Gen_Dist_Act_Bud";"whole",#N/A,FALSE,"Gen_Dist_T3months";"whole",#N/A,FALSE,"GD_PerP";"whole",#N/A,FALSE,"HR Dist'n"}</definedName>
    <definedName name="_____x3" localSheetId="0" hidden="1">{"whole",#N/A,FALSE,"Gen_Dist_Act_Bud";"whole",#N/A,FALSE,"Gen_Dist_T3months";"whole",#N/A,FALSE,"GD_PerP";"whole",#N/A,FALSE,"HR_Dist";"whole",#N/A,FALSE,"CS_DIST_ActvsBud";"whole",#N/A,FALSE,"CS_DIST_SUM_trail3mo";"whole",#N/A,FALSE,"ITG_act_Bud";"whole",#N/A,FALSE,"ITG_T3Mo"}</definedName>
    <definedName name="_____x3" localSheetId="3" hidden="1">{"whole",#N/A,FALSE,"Gen_Dist_Act_Bud";"whole",#N/A,FALSE,"Gen_Dist_T3months";"whole",#N/A,FALSE,"GD_PerP";"whole",#N/A,FALSE,"HR_Dist";"whole",#N/A,FALSE,"CS_DIST_ActvsBud";"whole",#N/A,FALSE,"CS_DIST_SUM_trail3mo";"whole",#N/A,FALSE,"ITG_act_Bud";"whole",#N/A,FALSE,"ITG_T3Mo"}</definedName>
    <definedName name="_____x3" hidden="1">{"whole",#N/A,FALSE,"Gen_Dist_Act_Bud";"whole",#N/A,FALSE,"Gen_Dist_T3months";"whole",#N/A,FALSE,"GD_PerP";"whole",#N/A,FALSE,"HR_Dist";"whole",#N/A,FALSE,"CS_DIST_ActvsBud";"whole",#N/A,FALSE,"CS_DIST_SUM_trail3mo";"whole",#N/A,FALSE,"ITG_act_Bud";"whole",#N/A,FALSE,"ITG_T3Mo"}</definedName>
    <definedName name="__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__a1" hidden="1">{"whole",#N/A,FALSE,"6701";"whole",#N/A,FALSE,"6702";"whole",#N/A,FALSE,"7710";"whole",#N/A,FALSE,"7714";"whole",#N/A,FALSE,"7729";"whole",#N/A,FALSE,"7730";"whole",#N/A,FALSE,"7731";"whole",#N/A,FALSE,"7736";"whole",#N/A,FALSE,"7737";"whole",#N/A,FALSE,"7738";"whole",#N/A,FALSE,"7743";"Whole",#N/A,FALSE,"7740";"whole",#N/A,FALSE,"7744";"whole",#N/A,FALSE,"7745"}</definedName>
    <definedName name="__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a4" localSheetId="0" hidden="1">{"whole",#N/A,FALSE,"Gen_Dist_Act_Bud";"whole",#N/A,FALSE,"Gen_Dist_T3months";"whole",#N/A,FALSE,"GD_PerP";"whole",#N/A,FALSE,"HR Dist'n"}</definedName>
    <definedName name="____a4" localSheetId="3" hidden="1">{"whole",#N/A,FALSE,"Gen_Dist_Act_Bud";"whole",#N/A,FALSE,"Gen_Dist_T3months";"whole",#N/A,FALSE,"GD_PerP";"whole",#N/A,FALSE,"HR Dist'n"}</definedName>
    <definedName name="____a4" hidden="1">{"whole",#N/A,FALSE,"Gen_Dist_Act_Bud";"whole",#N/A,FALSE,"Gen_Dist_T3months";"whole",#N/A,FALSE,"GD_PerP";"whole",#N/A,FALSE,"HR Dist'n"}</definedName>
    <definedName name="_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_a6" localSheetId="0" hidden="1">{"whole",#N/A,FALSE,"CS HC";"whole",#N/A,FALSE,"CS_ACTvsBud";"whole",#N/A,FALSE,"CSTrail3mo";"whole",#N/A,FALSE,"CS Cost Per Head ";"whole",#N/A,FALSE,"CS CPH YTD"}</definedName>
    <definedName name="____a6" localSheetId="3" hidden="1">{"whole",#N/A,FALSE,"CS HC";"whole",#N/A,FALSE,"CS_ACTvsBud";"whole",#N/A,FALSE,"CSTrail3mo";"whole",#N/A,FALSE,"CS Cost Per Head ";"whole",#N/A,FALSE,"CS CPH YTD"}</definedName>
    <definedName name="____a6" hidden="1">{"whole",#N/A,FALSE,"CS HC";"whole",#N/A,FALSE,"CS_ACTvsBud";"whole",#N/A,FALSE,"CSTrail3mo";"whole",#N/A,FALSE,"CS Cost Per Head ";"whole",#N/A,FALSE,"CS CPH YTD"}</definedName>
    <definedName name="____a7" localSheetId="0" hidden="1">{"whole",#N/A,FALSE,"CS FIN Sum For Rox";"whole",#N/A,FALSE,"Gen_Dist_Act_Bud";"whole",#N/A,FALSE,"Gen_Dist_T3months";"whole",#N/A,FALSE,"GD_PerP";"whole",#N/A,FALSE,"CS_DIST_ActvsBud";"whole",#N/A,FALSE,"CS_DIST_SUM_trail3mo"}</definedName>
    <definedName name="____a7" localSheetId="3" hidden="1">{"whole",#N/A,FALSE,"CS FIN Sum For Rox";"whole",#N/A,FALSE,"Gen_Dist_Act_Bud";"whole",#N/A,FALSE,"Gen_Dist_T3months";"whole",#N/A,FALSE,"GD_PerP";"whole",#N/A,FALSE,"CS_DIST_ActvsBud";"whole",#N/A,FALSE,"CS_DIST_SUM_trail3mo"}</definedName>
    <definedName name="____a7" hidden="1">{"whole",#N/A,FALSE,"CS FIN Sum For Rox";"whole",#N/A,FALSE,"Gen_Dist_Act_Bud";"whole",#N/A,FALSE,"Gen_Dist_T3months";"whole",#N/A,FALSE,"GD_PerP";"whole",#N/A,FALSE,"CS_DIST_ActvsBud";"whole",#N/A,FALSE,"CS_DIST_SUM_trail3mo"}</definedName>
    <definedName name="_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_ab1112" hidden="1">{"whole",#N/A,FALSE,"6701";"whole",#N/A,FALSE,"6702";"whole",#N/A,FALSE,"7710";"whole",#N/A,FALSE,"7714";"whole",#N/A,FALSE,"7729";"whole",#N/A,FALSE,"7730";"whole",#N/A,FALSE,"7731";"whole",#N/A,FALSE,"7736";"whole",#N/A,FALSE,"7737";"whole",#N/A,FALSE,"7738";"whole",#N/A,FALSE,"7743";"Whole",#N/A,FALSE,"7740";"whole",#N/A,FALSE,"7744";"whole",#N/A,FALSE,"7745"}</definedName>
    <definedName name="____b1" localSheetId="0" hidden="1">{"Chart 1",#N/A,FALSE,"Run Rate";"Chart 2",#N/A,FALSE,"Run Rate (2)"}</definedName>
    <definedName name="____b1" localSheetId="3" hidden="1">{"Chart 1",#N/A,FALSE,"Run Rate";"Chart 2",#N/A,FALSE,"Run Rate (2)"}</definedName>
    <definedName name="____b1" hidden="1">{"Chart 1",#N/A,FALSE,"Run Rate";"Chart 2",#N/A,FALSE,"Run Rate (2)"}</definedName>
    <definedName name="_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_w33" localSheetId="0" hidden="1">{"whole",#N/A,FALSE,"Gen_Dist_Act_Bud";"whole",#N/A,FALSE,"Gen_Dist_T3months";"whole",#N/A,FALSE,"GD_PerP";"whole",#N/A,FALSE,"HR Dist'n"}</definedName>
    <definedName name="____w33" localSheetId="3" hidden="1">{"whole",#N/A,FALSE,"Gen_Dist_Act_Bud";"whole",#N/A,FALSE,"Gen_Dist_T3months";"whole",#N/A,FALSE,"GD_PerP";"whole",#N/A,FALSE,"HR Dist'n"}</definedName>
    <definedName name="____w33" hidden="1">{"whole",#N/A,FALSE,"Gen_Dist_Act_Bud";"whole",#N/A,FALSE,"Gen_Dist_T3months";"whole",#N/A,FALSE,"GD_PerP";"whole",#N/A,FALSE,"HR Dist'n"}</definedName>
    <definedName name="____x3" localSheetId="0" hidden="1">{"whole",#N/A,FALSE,"Gen_Dist_Act_Bud";"whole",#N/A,FALSE,"Gen_Dist_T3months";"whole",#N/A,FALSE,"GD_PerP";"whole",#N/A,FALSE,"HR_Dist";"whole",#N/A,FALSE,"CS_DIST_ActvsBud";"whole",#N/A,FALSE,"CS_DIST_SUM_trail3mo";"whole",#N/A,FALSE,"ITG_act_Bud";"whole",#N/A,FALSE,"ITG_T3Mo"}</definedName>
    <definedName name="____x3" localSheetId="3" hidden="1">{"whole",#N/A,FALSE,"Gen_Dist_Act_Bud";"whole",#N/A,FALSE,"Gen_Dist_T3months";"whole",#N/A,FALSE,"GD_PerP";"whole",#N/A,FALSE,"HR_Dist";"whole",#N/A,FALSE,"CS_DIST_ActvsBud";"whole",#N/A,FALSE,"CS_DIST_SUM_trail3mo";"whole",#N/A,FALSE,"ITG_act_Bud";"whole",#N/A,FALSE,"ITG_T3Mo"}</definedName>
    <definedName name="____x3" hidden="1">{"whole",#N/A,FALSE,"Gen_Dist_Act_Bud";"whole",#N/A,FALSE,"Gen_Dist_T3months";"whole",#N/A,FALSE,"GD_PerP";"whole",#N/A,FALSE,"HR_Dist";"whole",#N/A,FALSE,"CS_DIST_ActvsBud";"whole",#N/A,FALSE,"CS_DIST_SUM_trail3mo";"whole",#N/A,FALSE,"ITG_act_Bud";"whole",#N/A,FALSE,"ITG_T3Mo"}</definedName>
    <definedName name="_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_a1" hidden="1">{"whole",#N/A,FALSE,"6701";"whole",#N/A,FALSE,"6702";"whole",#N/A,FALSE,"7710";"whole",#N/A,FALSE,"7714";"whole",#N/A,FALSE,"7729";"whole",#N/A,FALSE,"7730";"whole",#N/A,FALSE,"7731";"whole",#N/A,FALSE,"7736";"whole",#N/A,FALSE,"7737";"whole",#N/A,FALSE,"7738";"whole",#N/A,FALSE,"7743";"Whole",#N/A,FALSE,"7740";"whole",#N/A,FALSE,"7744";"whole",#N/A,FALSE,"7745"}</definedName>
    <definedName name="_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a4" localSheetId="0" hidden="1">{"whole",#N/A,FALSE,"Gen_Dist_Act_Bud";"whole",#N/A,FALSE,"Gen_Dist_T3months";"whole",#N/A,FALSE,"GD_PerP";"whole",#N/A,FALSE,"HR Dist'n"}</definedName>
    <definedName name="___a4" localSheetId="3" hidden="1">{"whole",#N/A,FALSE,"Gen_Dist_Act_Bud";"whole",#N/A,FALSE,"Gen_Dist_T3months";"whole",#N/A,FALSE,"GD_PerP";"whole",#N/A,FALSE,"HR Dist'n"}</definedName>
    <definedName name="___a4" hidden="1">{"whole",#N/A,FALSE,"Gen_Dist_Act_Bud";"whole",#N/A,FALSE,"Gen_Dist_T3months";"whole",#N/A,FALSE,"GD_PerP";"whole",#N/A,FALSE,"HR Dist'n"}</definedName>
    <definedName name="_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_a6" localSheetId="0" hidden="1">{"whole",#N/A,FALSE,"CS HC";"whole",#N/A,FALSE,"CS_ACTvsBud";"whole",#N/A,FALSE,"CSTrail3mo";"whole",#N/A,FALSE,"CS Cost Per Head ";"whole",#N/A,FALSE,"CS CPH YTD"}</definedName>
    <definedName name="___a6" localSheetId="3" hidden="1">{"whole",#N/A,FALSE,"CS HC";"whole",#N/A,FALSE,"CS_ACTvsBud";"whole",#N/A,FALSE,"CSTrail3mo";"whole",#N/A,FALSE,"CS Cost Per Head ";"whole",#N/A,FALSE,"CS CPH YTD"}</definedName>
    <definedName name="___a6" hidden="1">{"whole",#N/A,FALSE,"CS HC";"whole",#N/A,FALSE,"CS_ACTvsBud";"whole",#N/A,FALSE,"CSTrail3mo";"whole",#N/A,FALSE,"CS Cost Per Head ";"whole",#N/A,FALSE,"CS CPH YTD"}</definedName>
    <definedName name="___a7" localSheetId="0" hidden="1">{"whole",#N/A,FALSE,"CS FIN Sum For Rox";"whole",#N/A,FALSE,"Gen_Dist_Act_Bud";"whole",#N/A,FALSE,"Gen_Dist_T3months";"whole",#N/A,FALSE,"GD_PerP";"whole",#N/A,FALSE,"CS_DIST_ActvsBud";"whole",#N/A,FALSE,"CS_DIST_SUM_trail3mo"}</definedName>
    <definedName name="___a7" localSheetId="3" hidden="1">{"whole",#N/A,FALSE,"CS FIN Sum For Rox";"whole",#N/A,FALSE,"Gen_Dist_Act_Bud";"whole",#N/A,FALSE,"Gen_Dist_T3months";"whole",#N/A,FALSE,"GD_PerP";"whole",#N/A,FALSE,"CS_DIST_ActvsBud";"whole",#N/A,FALSE,"CS_DIST_SUM_trail3mo"}</definedName>
    <definedName name="___a7" hidden="1">{"whole",#N/A,FALSE,"CS FIN Sum For Rox";"whole",#N/A,FALSE,"Gen_Dist_Act_Bud";"whole",#N/A,FALSE,"Gen_Dist_T3months";"whole",#N/A,FALSE,"GD_PerP";"whole",#N/A,FALSE,"CS_DIST_ActvsBud";"whole",#N/A,FALSE,"CS_DIST_SUM_trail3mo"}</definedName>
    <definedName name="___aaa111299"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aaa111299"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aaa111299"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_ab1112" hidden="1">{"whole",#N/A,FALSE,"6701";"whole",#N/A,FALSE,"6702";"whole",#N/A,FALSE,"7710";"whole",#N/A,FALSE,"7714";"whole",#N/A,FALSE,"7729";"whole",#N/A,FALSE,"7730";"whole",#N/A,FALSE,"7731";"whole",#N/A,FALSE,"7736";"whole",#N/A,FALSE,"7737";"whole",#N/A,FALSE,"7738";"whole",#N/A,FALSE,"7743";"Whole",#N/A,FALSE,"7740";"whole",#N/A,FALSE,"7744";"whole",#N/A,FALSE,"7745"}</definedName>
    <definedName name="___b1" localSheetId="0" hidden="1">{"Chart 1",#N/A,FALSE,"Run Rate";"Chart 2",#N/A,FALSE,"Run Rate (2)"}</definedName>
    <definedName name="___b1" localSheetId="3" hidden="1">{"Chart 1",#N/A,FALSE,"Run Rate";"Chart 2",#N/A,FALSE,"Run Rate (2)"}</definedName>
    <definedName name="___b1" hidden="1">{"Chart 1",#N/A,FALSE,"Run Rate";"Chart 2",#N/A,FALSE,"Run Rate (2)"}</definedName>
    <definedName name="___fff2" localSheetId="0" hidden="1">{"whole",#N/A,FALSE,"Gen_Dist_Act_Bud";"whole",#N/A,FALSE,"Gen_Dist_T3months";"whole",#N/A,FALSE,"GD_PerP";"whole",#N/A,FALSE,"HR_Dist";"whole",#N/A,FALSE,"CS_DIST_ActvsBud";"whole",#N/A,FALSE,"CS_DIST_SUM_trail3mo";"whole",#N/A,FALSE,"ITG_act_Bud";"whole",#N/A,FALSE,"ITG_T3Mo"}</definedName>
    <definedName name="___fff2" localSheetId="3" hidden="1">{"whole",#N/A,FALSE,"Gen_Dist_Act_Bud";"whole",#N/A,FALSE,"Gen_Dist_T3months";"whole",#N/A,FALSE,"GD_PerP";"whole",#N/A,FALSE,"HR_Dist";"whole",#N/A,FALSE,"CS_DIST_ActvsBud";"whole",#N/A,FALSE,"CS_DIST_SUM_trail3mo";"whole",#N/A,FALSE,"ITG_act_Bud";"whole",#N/A,FALSE,"ITG_T3Mo"}</definedName>
    <definedName name="___fff2" hidden="1">{"whole",#N/A,FALSE,"Gen_Dist_Act_Bud";"whole",#N/A,FALSE,"Gen_Dist_T3months";"whole",#N/A,FALSE,"GD_PerP";"whole",#N/A,FALSE,"HR_Dist";"whole",#N/A,FALSE,"CS_DIST_ActvsBud";"whole",#N/A,FALSE,"CS_DIST_SUM_trail3mo";"whole",#N/A,FALSE,"ITG_act_Bud";"whole",#N/A,FALSE,"ITG_T3Mo"}</definedName>
    <definedName name="_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_w33" localSheetId="0" hidden="1">{"whole",#N/A,FALSE,"Gen_Dist_Act_Bud";"whole",#N/A,FALSE,"Gen_Dist_T3months";"whole",#N/A,FALSE,"GD_PerP";"whole",#N/A,FALSE,"HR Dist'n"}</definedName>
    <definedName name="___w33" localSheetId="3" hidden="1">{"whole",#N/A,FALSE,"Gen_Dist_Act_Bud";"whole",#N/A,FALSE,"Gen_Dist_T3months";"whole",#N/A,FALSE,"GD_PerP";"whole",#N/A,FALSE,"HR Dist'n"}</definedName>
    <definedName name="___w33" hidden="1">{"whole",#N/A,FALSE,"Gen_Dist_Act_Bud";"whole",#N/A,FALSE,"Gen_Dist_T3months";"whole",#N/A,FALSE,"GD_PerP";"whole",#N/A,FALSE,"HR Dist'n"}</definedName>
    <definedName name="___x3" localSheetId="0" hidden="1">{"whole",#N/A,FALSE,"Gen_Dist_Act_Bud";"whole",#N/A,FALSE,"Gen_Dist_T3months";"whole",#N/A,FALSE,"GD_PerP";"whole",#N/A,FALSE,"HR_Dist";"whole",#N/A,FALSE,"CS_DIST_ActvsBud";"whole",#N/A,FALSE,"CS_DIST_SUM_trail3mo";"whole",#N/A,FALSE,"ITG_act_Bud";"whole",#N/A,FALSE,"ITG_T3Mo"}</definedName>
    <definedName name="___x3" localSheetId="3" hidden="1">{"whole",#N/A,FALSE,"Gen_Dist_Act_Bud";"whole",#N/A,FALSE,"Gen_Dist_T3months";"whole",#N/A,FALSE,"GD_PerP";"whole",#N/A,FALSE,"HR_Dist";"whole",#N/A,FALSE,"CS_DIST_ActvsBud";"whole",#N/A,FALSE,"CS_DIST_SUM_trail3mo";"whole",#N/A,FALSE,"ITG_act_Bud";"whole",#N/A,FALSE,"ITG_T3Mo"}</definedName>
    <definedName name="___x3" hidden="1">{"whole",#N/A,FALSE,"Gen_Dist_Act_Bud";"whole",#N/A,FALSE,"Gen_Dist_T3months";"whole",#N/A,FALSE,"GD_PerP";"whole",#N/A,FALSE,"HR_Dist";"whole",#N/A,FALSE,"CS_DIST_ActvsBud";"whole",#N/A,FALSE,"CS_DIST_SUM_trail3mo";"whole",#N/A,FALSE,"ITG_act_Bud";"whole",#N/A,FALSE,"ITG_T3Mo"}</definedName>
    <definedName name="__a1" localSheetId="0" hidden="1">{"whole",#N/A,FALSE,"6701";"whole",#N/A,FALSE,"6702";"whole",#N/A,FALSE,"7710";"whole",#N/A,FALSE,"7714";"whole",#N/A,FALSE,"7729";"whole",#N/A,FALSE,"7730";"whole",#N/A,FALSE,"7731";"whole",#N/A,FALSE,"7736";"whole",#N/A,FALSE,"7737";"whole",#N/A,FALSE,"7738";"whole",#N/A,FALSE,"7743";"Whole",#N/A,FALSE,"7740";"whole",#N/A,FALSE,"7744";"whole",#N/A,FALSE,"7745"}</definedName>
    <definedName name="__a1" localSheetId="3" hidden="1">{"whole",#N/A,FALSE,"6701";"whole",#N/A,FALSE,"6702";"whole",#N/A,FALSE,"7710";"whole",#N/A,FALSE,"7714";"whole",#N/A,FALSE,"7729";"whole",#N/A,FALSE,"7730";"whole",#N/A,FALSE,"7731";"whole",#N/A,FALSE,"7736";"whole",#N/A,FALSE,"7737";"whole",#N/A,FALSE,"7738";"whole",#N/A,FALSE,"7743";"Whole",#N/A,FALSE,"7740";"whole",#N/A,FALSE,"7744";"whole",#N/A,FALSE,"7745"}</definedName>
    <definedName name="__a1" hidden="1">{"whole",#N/A,FALSE,"6701";"whole",#N/A,FALSE,"6702";"whole",#N/A,FALSE,"7710";"whole",#N/A,FALSE,"7714";"whole",#N/A,FALSE,"7729";"whole",#N/A,FALSE,"7730";"whole",#N/A,FALSE,"7731";"whole",#N/A,FALSE,"7736";"whole",#N/A,FALSE,"7737";"whole",#N/A,FALSE,"7738";"whole",#N/A,FALSE,"7743";"Whole",#N/A,FALSE,"7740";"whole",#N/A,FALSE,"7744";"whole",#N/A,FALSE,"7745"}</definedName>
    <definedName name="_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a4" localSheetId="0" hidden="1">{"whole",#N/A,FALSE,"Gen_Dist_Act_Bud";"whole",#N/A,FALSE,"Gen_Dist_T3months";"whole",#N/A,FALSE,"GD_PerP";"whole",#N/A,FALSE,"HR Dist'n"}</definedName>
    <definedName name="__a4" localSheetId="3" hidden="1">{"whole",#N/A,FALSE,"Gen_Dist_Act_Bud";"whole",#N/A,FALSE,"Gen_Dist_T3months";"whole",#N/A,FALSE,"GD_PerP";"whole",#N/A,FALSE,"HR Dist'n"}</definedName>
    <definedName name="__a4" hidden="1">{"whole",#N/A,FALSE,"Gen_Dist_Act_Bud";"whole",#N/A,FALSE,"Gen_Dist_T3months";"whole",#N/A,FALSE,"GD_PerP";"whole",#N/A,FALSE,"HR Dist'n"}</definedName>
    <definedName name="_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_a6" localSheetId="0" hidden="1">{"whole",#N/A,FALSE,"CS HC";"whole",#N/A,FALSE,"CS_ACTvsBud";"whole",#N/A,FALSE,"CSTrail3mo";"whole",#N/A,FALSE,"CS Cost Per Head ";"whole",#N/A,FALSE,"CS CPH YTD"}</definedName>
    <definedName name="__a6" localSheetId="3" hidden="1">{"whole",#N/A,FALSE,"CS HC";"whole",#N/A,FALSE,"CS_ACTvsBud";"whole",#N/A,FALSE,"CSTrail3mo";"whole",#N/A,FALSE,"CS Cost Per Head ";"whole",#N/A,FALSE,"CS CPH YTD"}</definedName>
    <definedName name="__a6" hidden="1">{"whole",#N/A,FALSE,"CS HC";"whole",#N/A,FALSE,"CS_ACTvsBud";"whole",#N/A,FALSE,"CSTrail3mo";"whole",#N/A,FALSE,"CS Cost Per Head ";"whole",#N/A,FALSE,"CS CPH YTD"}</definedName>
    <definedName name="__a7" localSheetId="0" hidden="1">{"whole",#N/A,FALSE,"CS FIN Sum For Rox";"whole",#N/A,FALSE,"Gen_Dist_Act_Bud";"whole",#N/A,FALSE,"Gen_Dist_T3months";"whole",#N/A,FALSE,"GD_PerP";"whole",#N/A,FALSE,"CS_DIST_ActvsBud";"whole",#N/A,FALSE,"CS_DIST_SUM_trail3mo"}</definedName>
    <definedName name="__a7" localSheetId="3" hidden="1">{"whole",#N/A,FALSE,"CS FIN Sum For Rox";"whole",#N/A,FALSE,"Gen_Dist_Act_Bud";"whole",#N/A,FALSE,"Gen_Dist_T3months";"whole",#N/A,FALSE,"GD_PerP";"whole",#N/A,FALSE,"CS_DIST_ActvsBud";"whole",#N/A,FALSE,"CS_DIST_SUM_trail3mo"}</definedName>
    <definedName name="__a7" hidden="1">{"whole",#N/A,FALSE,"CS FIN Sum For Rox";"whole",#N/A,FALSE,"Gen_Dist_Act_Bud";"whole",#N/A,FALSE,"Gen_Dist_T3months";"whole",#N/A,FALSE,"GD_PerP";"whole",#N/A,FALSE,"CS_DIST_ActvsBud";"whole",#N/A,FALSE,"CS_DIST_SUM_trail3mo"}</definedName>
    <definedName name="__aaa111299"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aaa111299"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aaa111299"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_ab1112" hidden="1">{"whole",#N/A,FALSE,"6701";"whole",#N/A,FALSE,"6702";"whole",#N/A,FALSE,"7710";"whole",#N/A,FALSE,"7714";"whole",#N/A,FALSE,"7729";"whole",#N/A,FALSE,"7730";"whole",#N/A,FALSE,"7731";"whole",#N/A,FALSE,"7736";"whole",#N/A,FALSE,"7737";"whole",#N/A,FALSE,"7738";"whole",#N/A,FALSE,"7743";"Whole",#N/A,FALSE,"7740";"whole",#N/A,FALSE,"7744";"whole",#N/A,FALSE,"7745"}</definedName>
    <definedName name="__b1" localSheetId="0" hidden="1">{"Chart 1",#N/A,FALSE,"Run Rate";"Chart 2",#N/A,FALSE,"Run Rate (2)"}</definedName>
    <definedName name="__b1" localSheetId="3" hidden="1">{"Chart 1",#N/A,FALSE,"Run Rate";"Chart 2",#N/A,FALSE,"Run Rate (2)"}</definedName>
    <definedName name="__b1" hidden="1">{"Chart 1",#N/A,FALSE,"Run Rate";"Chart 2",#N/A,FALSE,"Run Rate (2)"}</definedName>
    <definedName name="__fff2" localSheetId="0" hidden="1">{"whole",#N/A,FALSE,"Gen_Dist_Act_Bud";"whole",#N/A,FALSE,"Gen_Dist_T3months";"whole",#N/A,FALSE,"GD_PerP";"whole",#N/A,FALSE,"HR_Dist";"whole",#N/A,FALSE,"CS_DIST_ActvsBud";"whole",#N/A,FALSE,"CS_DIST_SUM_trail3mo";"whole",#N/A,FALSE,"ITG_act_Bud";"whole",#N/A,FALSE,"ITG_T3Mo"}</definedName>
    <definedName name="__fff2" localSheetId="3" hidden="1">{"whole",#N/A,FALSE,"Gen_Dist_Act_Bud";"whole",#N/A,FALSE,"Gen_Dist_T3months";"whole",#N/A,FALSE,"GD_PerP";"whole",#N/A,FALSE,"HR_Dist";"whole",#N/A,FALSE,"CS_DIST_ActvsBud";"whole",#N/A,FALSE,"CS_DIST_SUM_trail3mo";"whole",#N/A,FALSE,"ITG_act_Bud";"whole",#N/A,FALSE,"ITG_T3Mo"}</definedName>
    <definedName name="__fff2" hidden="1">{"whole",#N/A,FALSE,"Gen_Dist_Act_Bud";"whole",#N/A,FALSE,"Gen_Dist_T3months";"whole",#N/A,FALSE,"GD_PerP";"whole",#N/A,FALSE,"HR_Dist";"whole",#N/A,FALSE,"CS_DIST_ActvsBud";"whole",#N/A,FALSE,"CS_DIST_SUM_trail3mo";"whole",#N/A,FALSE,"ITG_act_Bud";"whole",#N/A,FALSE,"ITG_T3Mo"}</definedName>
    <definedName name="_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_w33" localSheetId="0" hidden="1">{"whole",#N/A,FALSE,"Gen_Dist_Act_Bud";"whole",#N/A,FALSE,"Gen_Dist_T3months";"whole",#N/A,FALSE,"GD_PerP";"whole",#N/A,FALSE,"HR Dist'n"}</definedName>
    <definedName name="__w33" localSheetId="3" hidden="1">{"whole",#N/A,FALSE,"Gen_Dist_Act_Bud";"whole",#N/A,FALSE,"Gen_Dist_T3months";"whole",#N/A,FALSE,"GD_PerP";"whole",#N/A,FALSE,"HR Dist'n"}</definedName>
    <definedName name="__w33" hidden="1">{"whole",#N/A,FALSE,"Gen_Dist_Act_Bud";"whole",#N/A,FALSE,"Gen_Dist_T3months";"whole",#N/A,FALSE,"GD_PerP";"whole",#N/A,FALSE,"HR Dist'n"}</definedName>
    <definedName name="__x3" localSheetId="0" hidden="1">{"whole",#N/A,FALSE,"Gen_Dist_Act_Bud";"whole",#N/A,FALSE,"Gen_Dist_T3months";"whole",#N/A,FALSE,"GD_PerP";"whole",#N/A,FALSE,"HR_Dist";"whole",#N/A,FALSE,"CS_DIST_ActvsBud";"whole",#N/A,FALSE,"CS_DIST_SUM_trail3mo";"whole",#N/A,FALSE,"ITG_act_Bud";"whole",#N/A,FALSE,"ITG_T3Mo"}</definedName>
    <definedName name="__x3" localSheetId="3" hidden="1">{"whole",#N/A,FALSE,"Gen_Dist_Act_Bud";"whole",#N/A,FALSE,"Gen_Dist_T3months";"whole",#N/A,FALSE,"GD_PerP";"whole",#N/A,FALSE,"HR_Dist";"whole",#N/A,FALSE,"CS_DIST_ActvsBud";"whole",#N/A,FALSE,"CS_DIST_SUM_trail3mo";"whole",#N/A,FALSE,"ITG_act_Bud";"whole",#N/A,FALSE,"ITG_T3Mo"}</definedName>
    <definedName name="__x3" hidden="1">{"whole",#N/A,FALSE,"Gen_Dist_Act_Bud";"whole",#N/A,FALSE,"Gen_Dist_T3months";"whole",#N/A,FALSE,"GD_PerP";"whole",#N/A,FALSE,"HR_Dist";"whole",#N/A,FALSE,"CS_DIST_ActvsBud";"whole",#N/A,FALSE,"CS_DIST_SUM_trail3mo";"whole",#N/A,FALSE,"ITG_act_Bud";"whole",#N/A,FALSE,"ITG_T3Mo"}</definedName>
    <definedName name="_a1" localSheetId="0" hidden="1">{"whole",#N/A,FALSE,"6701";"whole",#N/A,FALSE,"6702";"whole",#N/A,FALSE,"7710";"whole",#N/A,FALSE,"7714";"whole",#N/A,FALSE,"7729";"whole",#N/A,FALSE,"7730";"whole",#N/A,FALSE,"7731";"whole",#N/A,FALSE,"7736";"whole",#N/A,FALSE,"7737";"whole",#N/A,FALSE,"7738";"whole",#N/A,FALSE,"7743";"Whole",#N/A,FALSE,"7740";"whole",#N/A,FALSE,"7744";"whole",#N/A,FALSE,"7745"}</definedName>
    <definedName name="_a1" localSheetId="3" hidden="1">{"whole",#N/A,FALSE,"6701";"whole",#N/A,FALSE,"6702";"whole",#N/A,FALSE,"7710";"whole",#N/A,FALSE,"7714";"whole",#N/A,FALSE,"7729";"whole",#N/A,FALSE,"7730";"whole",#N/A,FALSE,"7731";"whole",#N/A,FALSE,"7736";"whole",#N/A,FALSE,"7737";"whole",#N/A,FALSE,"7738";"whole",#N/A,FALSE,"7743";"Whole",#N/A,FALSE,"7740";"whole",#N/A,FALSE,"7744";"whole",#N/A,FALSE,"7745"}</definedName>
    <definedName name="_a1" hidden="1">{"whole",#N/A,FALSE,"6701";"whole",#N/A,FALSE,"6702";"whole",#N/A,FALSE,"7710";"whole",#N/A,FALSE,"7714";"whole",#N/A,FALSE,"7729";"whole",#N/A,FALSE,"7730";"whole",#N/A,FALSE,"7731";"whole",#N/A,FALSE,"7736";"whole",#N/A,FALSE,"7737";"whole",#N/A,FALSE,"7738";"whole",#N/A,FALSE,"7743";"Whole",#N/A,FALSE,"7740";"whole",#N/A,FALSE,"7744";"whole",#N/A,FALSE,"7745"}</definedName>
    <definedName name="_a3"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a3"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a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a4" localSheetId="0" hidden="1">{"whole",#N/A,FALSE,"Gen_Dist_Act_Bud";"whole",#N/A,FALSE,"Gen_Dist_T3months";"whole",#N/A,FALSE,"GD_PerP";"whole",#N/A,FALSE,"HR Dist'n"}</definedName>
    <definedName name="_a4" localSheetId="3" hidden="1">{"whole",#N/A,FALSE,"Gen_Dist_Act_Bud";"whole",#N/A,FALSE,"Gen_Dist_T3months";"whole",#N/A,FALSE,"GD_PerP";"whole",#N/A,FALSE,"HR Dist'n"}</definedName>
    <definedName name="_a4" hidden="1">{"whole",#N/A,FALSE,"Gen_Dist_Act_Bud";"whole",#N/A,FALSE,"Gen_Dist_T3months";"whole",#N/A,FALSE,"GD_PerP";"whole",#N/A,FALSE,"HR Dist'n"}</definedName>
    <definedName name="_a5"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a5"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a5"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_a6" localSheetId="0" hidden="1">{"whole",#N/A,FALSE,"CS HC";"whole",#N/A,FALSE,"CS_ACTvsBud";"whole",#N/A,FALSE,"CSTrail3mo";"whole",#N/A,FALSE,"CS Cost Per Head ";"whole",#N/A,FALSE,"CS CPH YTD"}</definedName>
    <definedName name="_a6" localSheetId="3" hidden="1">{"whole",#N/A,FALSE,"CS HC";"whole",#N/A,FALSE,"CS_ACTvsBud";"whole",#N/A,FALSE,"CSTrail3mo";"whole",#N/A,FALSE,"CS Cost Per Head ";"whole",#N/A,FALSE,"CS CPH YTD"}</definedName>
    <definedName name="_a6" hidden="1">{"whole",#N/A,FALSE,"CS HC";"whole",#N/A,FALSE,"CS_ACTvsBud";"whole",#N/A,FALSE,"CSTrail3mo";"whole",#N/A,FALSE,"CS Cost Per Head ";"whole",#N/A,FALSE,"CS CPH YTD"}</definedName>
    <definedName name="_a7" localSheetId="0" hidden="1">{"whole",#N/A,FALSE,"CS FIN Sum For Rox";"whole",#N/A,FALSE,"Gen_Dist_Act_Bud";"whole",#N/A,FALSE,"Gen_Dist_T3months";"whole",#N/A,FALSE,"GD_PerP";"whole",#N/A,FALSE,"CS_DIST_ActvsBud";"whole",#N/A,FALSE,"CS_DIST_SUM_trail3mo"}</definedName>
    <definedName name="_a7" localSheetId="3" hidden="1">{"whole",#N/A,FALSE,"CS FIN Sum For Rox";"whole",#N/A,FALSE,"Gen_Dist_Act_Bud";"whole",#N/A,FALSE,"Gen_Dist_T3months";"whole",#N/A,FALSE,"GD_PerP";"whole",#N/A,FALSE,"CS_DIST_ActvsBud";"whole",#N/A,FALSE,"CS_DIST_SUM_trail3mo"}</definedName>
    <definedName name="_a7" hidden="1">{"whole",#N/A,FALSE,"CS FIN Sum For Rox";"whole",#N/A,FALSE,"Gen_Dist_Act_Bud";"whole",#N/A,FALSE,"Gen_Dist_T3months";"whole",#N/A,FALSE,"GD_PerP";"whole",#N/A,FALSE,"CS_DIST_ActvsBud";"whole",#N/A,FALSE,"CS_DIST_SUM_trail3mo"}</definedName>
    <definedName name="_aaa111299"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aaa111299"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aaa111299"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ab1112" localSheetId="0" hidden="1">{"whole",#N/A,FALSE,"6701";"whole",#N/A,FALSE,"6702";"whole",#N/A,FALSE,"7710";"whole",#N/A,FALSE,"7714";"whole",#N/A,FALSE,"7729";"whole",#N/A,FALSE,"7730";"whole",#N/A,FALSE,"7731";"whole",#N/A,FALSE,"7736";"whole",#N/A,FALSE,"7737";"whole",#N/A,FALSE,"7738";"whole",#N/A,FALSE,"7743";"Whole",#N/A,FALSE,"7740";"whole",#N/A,FALSE,"7744";"whole",#N/A,FALSE,"7745"}</definedName>
    <definedName name="_ab1112" localSheetId="3" hidden="1">{"whole",#N/A,FALSE,"6701";"whole",#N/A,FALSE,"6702";"whole",#N/A,FALSE,"7710";"whole",#N/A,FALSE,"7714";"whole",#N/A,FALSE,"7729";"whole",#N/A,FALSE,"7730";"whole",#N/A,FALSE,"7731";"whole",#N/A,FALSE,"7736";"whole",#N/A,FALSE,"7737";"whole",#N/A,FALSE,"7738";"whole",#N/A,FALSE,"7743";"Whole",#N/A,FALSE,"7740";"whole",#N/A,FALSE,"7744";"whole",#N/A,FALSE,"7745"}</definedName>
    <definedName name="_ab1112" hidden="1">{"whole",#N/A,FALSE,"6701";"whole",#N/A,FALSE,"6702";"whole",#N/A,FALSE,"7710";"whole",#N/A,FALSE,"7714";"whole",#N/A,FALSE,"7729";"whole",#N/A,FALSE,"7730";"whole",#N/A,FALSE,"7731";"whole",#N/A,FALSE,"7736";"whole",#N/A,FALSE,"7737";"whole",#N/A,FALSE,"7738";"whole",#N/A,FALSE,"7743";"Whole",#N/A,FALSE,"7740";"whole",#N/A,FALSE,"7744";"whole",#N/A,FALSE,"7745"}</definedName>
    <definedName name="_b1" localSheetId="0" hidden="1">{"Chart 1",#N/A,FALSE,"Run Rate";"Chart 2",#N/A,FALSE,"Run Rate (2)"}</definedName>
    <definedName name="_b1" localSheetId="3" hidden="1">{"Chart 1",#N/A,FALSE,"Run Rate";"Chart 2",#N/A,FALSE,"Run Rate (2)"}</definedName>
    <definedName name="_b1" hidden="1">{"Chart 1",#N/A,FALSE,"Run Rate";"Chart 2",#N/A,FALSE,"Run Rate (2)"}</definedName>
    <definedName name="_fff2" localSheetId="0" hidden="1">{"whole",#N/A,FALSE,"Gen_Dist_Act_Bud";"whole",#N/A,FALSE,"Gen_Dist_T3months";"whole",#N/A,FALSE,"GD_PerP";"whole",#N/A,FALSE,"HR_Dist";"whole",#N/A,FALSE,"CS_DIST_ActvsBud";"whole",#N/A,FALSE,"CS_DIST_SUM_trail3mo";"whole",#N/A,FALSE,"ITG_act_Bud";"whole",#N/A,FALSE,"ITG_T3Mo"}</definedName>
    <definedName name="_fff2" localSheetId="3" hidden="1">{"whole",#N/A,FALSE,"Gen_Dist_Act_Bud";"whole",#N/A,FALSE,"Gen_Dist_T3months";"whole",#N/A,FALSE,"GD_PerP";"whole",#N/A,FALSE,"HR_Dist";"whole",#N/A,FALSE,"CS_DIST_ActvsBud";"whole",#N/A,FALSE,"CS_DIST_SUM_trail3mo";"whole",#N/A,FALSE,"ITG_act_Bud";"whole",#N/A,FALSE,"ITG_T3Mo"}</definedName>
    <definedName name="_fff2" hidden="1">{"whole",#N/A,FALSE,"Gen_Dist_Act_Bud";"whole",#N/A,FALSE,"Gen_Dist_T3months";"whole",#N/A,FALSE,"GD_PerP";"whole",#N/A,FALSE,"HR_Dist";"whole",#N/A,FALSE,"CS_DIST_ActvsBud";"whole",#N/A,FALSE,"CS_DIST_SUM_trail3mo";"whole",#N/A,FALSE,"ITG_act_Bud";"whole",#N/A,FALSE,"ITG_T3Mo"}</definedName>
    <definedName name="_xlnm._FilterDatabase" hidden="1">#REF!</definedName>
    <definedName name="_w32"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w32"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w32"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_w33" localSheetId="0" hidden="1">{"whole",#N/A,FALSE,"Gen_Dist_Act_Bud";"whole",#N/A,FALSE,"Gen_Dist_T3months";"whole",#N/A,FALSE,"GD_PerP";"whole",#N/A,FALSE,"HR Dist'n"}</definedName>
    <definedName name="_w33" localSheetId="3" hidden="1">{"whole",#N/A,FALSE,"Gen_Dist_Act_Bud";"whole",#N/A,FALSE,"Gen_Dist_T3months";"whole",#N/A,FALSE,"GD_PerP";"whole",#N/A,FALSE,"HR Dist'n"}</definedName>
    <definedName name="_w33" hidden="1">{"whole",#N/A,FALSE,"Gen_Dist_Act_Bud";"whole",#N/A,FALSE,"Gen_Dist_T3months";"whole",#N/A,FALSE,"GD_PerP";"whole",#N/A,FALSE,"HR Dist'n"}</definedName>
    <definedName name="_x3" localSheetId="0" hidden="1">{"whole",#N/A,FALSE,"Gen_Dist_Act_Bud";"whole",#N/A,FALSE,"Gen_Dist_T3months";"whole",#N/A,FALSE,"GD_PerP";"whole",#N/A,FALSE,"HR_Dist";"whole",#N/A,FALSE,"CS_DIST_ActvsBud";"whole",#N/A,FALSE,"CS_DIST_SUM_trail3mo";"whole",#N/A,FALSE,"ITG_act_Bud";"whole",#N/A,FALSE,"ITG_T3Mo"}</definedName>
    <definedName name="_x3" localSheetId="3" hidden="1">{"whole",#N/A,FALSE,"Gen_Dist_Act_Bud";"whole",#N/A,FALSE,"Gen_Dist_T3months";"whole",#N/A,FALSE,"GD_PerP";"whole",#N/A,FALSE,"HR_Dist";"whole",#N/A,FALSE,"CS_DIST_ActvsBud";"whole",#N/A,FALSE,"CS_DIST_SUM_trail3mo";"whole",#N/A,FALSE,"ITG_act_Bud";"whole",#N/A,FALSE,"ITG_T3Mo"}</definedName>
    <definedName name="_x3" hidden="1">{"whole",#N/A,FALSE,"Gen_Dist_Act_Bud";"whole",#N/A,FALSE,"Gen_Dist_T3months";"whole",#N/A,FALSE,"GD_PerP";"whole",#N/A,FALSE,"HR_Dist";"whole",#N/A,FALSE,"CS_DIST_ActvsBud";"whole",#N/A,FALSE,"CS_DIST_SUM_trail3mo";"whole",#N/A,FALSE,"ITG_act_Bud";"whole",#N/A,FALSE,"ITG_T3Mo"}</definedName>
    <definedName name="a" localSheetId="0" hidden="1">{#N/A,#N/A,FALSE,"Summary";#N/A,#N/A,FALSE,"Details";#N/A,#N/A,FALSE,"Month-Hd";#N/A,#N/A,FALSE,"YTD-Hd";#N/A,#N/A,FALSE,"Capital"}</definedName>
    <definedName name="a" localSheetId="3" hidden="1">{#N/A,#N/A,FALSE,"Summary";#N/A,#N/A,FALSE,"Details";#N/A,#N/A,FALSE,"Month-Hd";#N/A,#N/A,FALSE,"YTD-Hd";#N/A,#N/A,FALSE,"Capital"}</definedName>
    <definedName name="a" hidden="1">{#N/A,#N/A,FALSE,"Summary";#N/A,#N/A,FALSE,"Details";#N/A,#N/A,FALSE,"Month-Hd";#N/A,#N/A,FALSE,"YTD-Hd";#N/A,#N/A,FALSE,"Capital"}</definedName>
    <definedName name="aa" localSheetId="0" hidden="1">{"whole",#N/A,FALSE,"6701";"whole",#N/A,FALSE,"6702";"whole",#N/A,FALSE,"7710";"whole",#N/A,FALSE,"7714";"whole",#N/A,FALSE,"7729";"whole",#N/A,FALSE,"7730";"whole",#N/A,FALSE,"7731";"whole",#N/A,FALSE,"7736";"whole",#N/A,FALSE,"7737";"whole",#N/A,FALSE,"7738";"whole",#N/A,FALSE,"7743";"Whole",#N/A,FALSE,"7740";"whole",#N/A,FALSE,"7744";"whole",#N/A,FALSE,"7745"}</definedName>
    <definedName name="aa" localSheetId="3" hidden="1">{"whole",#N/A,FALSE,"6701";"whole",#N/A,FALSE,"6702";"whole",#N/A,FALSE,"7710";"whole",#N/A,FALSE,"7714";"whole",#N/A,FALSE,"7729";"whole",#N/A,FALSE,"7730";"whole",#N/A,FALSE,"7731";"whole",#N/A,FALSE,"7736";"whole",#N/A,FALSE,"7737";"whole",#N/A,FALSE,"7738";"whole",#N/A,FALSE,"7743";"Whole",#N/A,FALSE,"7740";"whole",#N/A,FALSE,"7744";"whole",#N/A,FALSE,"7745"}</definedName>
    <definedName name="aa" hidden="1">{"whole",#N/A,FALSE,"6701";"whole",#N/A,FALSE,"6702";"whole",#N/A,FALSE,"7710";"whole",#N/A,FALSE,"7714";"whole",#N/A,FALSE,"7729";"whole",#N/A,FALSE,"7730";"whole",#N/A,FALSE,"7731";"whole",#N/A,FALSE,"7736";"whole",#N/A,FALSE,"7737";"whole",#N/A,FALSE,"7738";"whole",#N/A,FALSE,"7743";"Whole",#N/A,FALSE,"7740";"whole",#N/A,FALSE,"7744";"whole",#N/A,FALSE,"7745"}</definedName>
    <definedName name="aaa" localSheetId="0" hidden="1">{"whole",#N/A,FALSE,"Gen_Dist_Act_Bud";"whole",#N/A,FALSE,"Gen_Dist_T3months";"whole",#N/A,FALSE,"GD_PerP";"whole",#N/A,FALSE,"HR_Dist";"whole",#N/A,FALSE,"CS_DIST_ActvsBud";"whole",#N/A,FALSE,"CS_DIST_SUM_trail3mo";"whole",#N/A,FALSE,"ITG_act_Bud";"whole",#N/A,FALSE,"ITG_T3Mo"}</definedName>
    <definedName name="aaa" localSheetId="3" hidden="1">{"whole",#N/A,FALSE,"Gen_Dist_Act_Bud";"whole",#N/A,FALSE,"Gen_Dist_T3months";"whole",#N/A,FALSE,"GD_PerP";"whole",#N/A,FALSE,"HR_Dist";"whole",#N/A,FALSE,"CS_DIST_ActvsBud";"whole",#N/A,FALSE,"CS_DIST_SUM_trail3mo";"whole",#N/A,FALSE,"ITG_act_Bud";"whole",#N/A,FALSE,"ITG_T3Mo"}</definedName>
    <definedName name="aaa" hidden="1">{"whole",#N/A,FALSE,"Gen_Dist_Act_Bud";"whole",#N/A,FALSE,"Gen_Dist_T3months";"whole",#N/A,FALSE,"GD_PerP";"whole",#N/A,FALSE,"HR_Dist";"whole",#N/A,FALSE,"CS_DIST_ActvsBud";"whole",#N/A,FALSE,"CS_DIST_SUM_trail3mo";"whole",#N/A,FALSE,"ITG_act_Bud";"whole",#N/A,FALSE,"ITG_T3Mo"}</definedName>
    <definedName name="aaaa" localSheetId="0" hidden="1">{"whole",#N/A,FALSE,"Gen_Dist_Act_Bud";"whole",#N/A,FALSE,"Gen_Dist_T3months";"whole",#N/A,FALSE,"GD_PerP";"whole",#N/A,FALSE,"HR_Dist";"whole",#N/A,FALSE,"CS_DIST_ActvsBud";"whole",#N/A,FALSE,"CS_DIST_SUM_trail3mo";"whole",#N/A,FALSE,"ITG_act_Bud";"whole",#N/A,FALSE,"ITG_T3Mo"}</definedName>
    <definedName name="aaaa" localSheetId="3" hidden="1">{"whole",#N/A,FALSE,"Gen_Dist_Act_Bud";"whole",#N/A,FALSE,"Gen_Dist_T3months";"whole",#N/A,FALSE,"GD_PerP";"whole",#N/A,FALSE,"HR_Dist";"whole",#N/A,FALSE,"CS_DIST_ActvsBud";"whole",#N/A,FALSE,"CS_DIST_SUM_trail3mo";"whole",#N/A,FALSE,"ITG_act_Bud";"whole",#N/A,FALSE,"ITG_T3Mo"}</definedName>
    <definedName name="aaaa" hidden="1">{"whole",#N/A,FALSE,"Gen_Dist_Act_Bud";"whole",#N/A,FALSE,"Gen_Dist_T3months";"whole",#N/A,FALSE,"GD_PerP";"whole",#N/A,FALSE,"HR_Dist";"whole",#N/A,FALSE,"CS_DIST_ActvsBud";"whole",#N/A,FALSE,"CS_DIST_SUM_trail3mo";"whole",#N/A,FALSE,"ITG_act_Bud";"whole",#N/A,FALSE,"ITG_T3Mo"}</definedName>
    <definedName name="aaaa111299" localSheetId="0" hidden="1">{"whole",#N/A,FALSE,"Gen_Dist_Act_Bud";"whole",#N/A,FALSE,"Gen_Dist_T3months";"whole",#N/A,FALSE,"GD_PerP";"whole",#N/A,FALSE,"HR Dist'n"}</definedName>
    <definedName name="aaaa111299" localSheetId="3" hidden="1">{"whole",#N/A,FALSE,"Gen_Dist_Act_Bud";"whole",#N/A,FALSE,"Gen_Dist_T3months";"whole",#N/A,FALSE,"GD_PerP";"whole",#N/A,FALSE,"HR Dist'n"}</definedName>
    <definedName name="aaaa111299" hidden="1">{"whole",#N/A,FALSE,"Gen_Dist_Act_Bud";"whole",#N/A,FALSE,"Gen_Dist_T3months";"whole",#N/A,FALSE,"GD_PerP";"whole",#N/A,FALSE,"HR Dist'n"}</definedName>
    <definedName name="aaaaa" localSheetId="0" hidden="1">{"whole",#N/A,FALSE,"6701";"whole",#N/A,FALSE,"6702";"whole",#N/A,FALSE,"7710";"whole",#N/A,FALSE,"7714";"whole",#N/A,FALSE,"7729";"whole",#N/A,FALSE,"7730";"whole",#N/A,FALSE,"7731";"whole",#N/A,FALSE,"7736";"whole",#N/A,FALSE,"7737";"whole",#N/A,FALSE,"7738";"whole",#N/A,FALSE,"7743";"Whole",#N/A,FALSE,"7740";"whole",#N/A,FALSE,"7744";"whole",#N/A,FALSE,"7745"}</definedName>
    <definedName name="aaaaa" localSheetId="3" hidden="1">{"whole",#N/A,FALSE,"6701";"whole",#N/A,FALSE,"6702";"whole",#N/A,FALSE,"7710";"whole",#N/A,FALSE,"7714";"whole",#N/A,FALSE,"7729";"whole",#N/A,FALSE,"7730";"whole",#N/A,FALSE,"7731";"whole",#N/A,FALSE,"7736";"whole",#N/A,FALSE,"7737";"whole",#N/A,FALSE,"7738";"whole",#N/A,FALSE,"7743";"Whole",#N/A,FALSE,"7740";"whole",#N/A,FALSE,"7744";"whole",#N/A,FALSE,"7745"}</definedName>
    <definedName name="aaaaa" hidden="1">{"whole",#N/A,FALSE,"6701";"whole",#N/A,FALSE,"6702";"whole",#N/A,FALSE,"7710";"whole",#N/A,FALSE,"7714";"whole",#N/A,FALSE,"7729";"whole",#N/A,FALSE,"7730";"whole",#N/A,FALSE,"7731";"whole",#N/A,FALSE,"7736";"whole",#N/A,FALSE,"7737";"whole",#N/A,FALSE,"7738";"whole",#N/A,FALSE,"7743";"Whole",#N/A,FALSE,"7740";"whole",#N/A,FALSE,"7744";"whole",#N/A,FALSE,"7745"}</definedName>
    <definedName name="aaaaaa" localSheetId="0" hidden="1">{"whole",#N/A,FALSE,"CS HC";"whole",#N/A,FALSE,"CS_ACTvsBud";"whole",#N/A,FALSE,"CSTrail3mo";"whole",#N/A,FALSE,"CS Cost Per Head ";"whole",#N/A,FALSE,"CS CPH YTD"}</definedName>
    <definedName name="aaaaaa" localSheetId="3" hidden="1">{"whole",#N/A,FALSE,"CS HC";"whole",#N/A,FALSE,"CS_ACTvsBud";"whole",#N/A,FALSE,"CSTrail3mo";"whole",#N/A,FALSE,"CS Cost Per Head ";"whole",#N/A,FALSE,"CS CPH YTD"}</definedName>
    <definedName name="aaaaaa" hidden="1">{"whole",#N/A,FALSE,"CS HC";"whole",#N/A,FALSE,"CS_ACTvsBud";"whole",#N/A,FALSE,"CSTrail3mo";"whole",#N/A,FALSE,"CS Cost Per Head ";"whole",#N/A,FALSE,"CS CPH YTD"}</definedName>
    <definedName name="aaaaaaa"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aaaaaaa"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aaaaaaa"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aaaaaaaa" localSheetId="0" hidden="1">{"whole",#N/A,FALSE,"Gen_Dist_Act_Bud";"whole",#N/A,FALSE,"Gen_Dist_T3months";"whole",#N/A,FALSE,"GD_PerP";"whole",#N/A,FALSE,"HR Dist'n"}</definedName>
    <definedName name="aaaaaaaa" localSheetId="3" hidden="1">{"whole",#N/A,FALSE,"Gen_Dist_Act_Bud";"whole",#N/A,FALSE,"Gen_Dist_T3months";"whole",#N/A,FALSE,"GD_PerP";"whole",#N/A,FALSE,"HR Dist'n"}</definedName>
    <definedName name="aaaaaaaa" hidden="1">{"whole",#N/A,FALSE,"Gen_Dist_Act_Bud";"whole",#N/A,FALSE,"Gen_Dist_T3months";"whole",#N/A,FALSE,"GD_PerP";"whole",#N/A,FALSE,"HR Dist'n"}</definedName>
    <definedName name="aaaaaaaaa" localSheetId="0" hidden="1">{"whole",#N/A,FALSE,"CS HC";"whole",#N/A,FALSE,"CS_ACTvsBud";"whole",#N/A,FALSE,"CSTrail3mo";"whole",#N/A,FALSE,"CS Cost Per Head ";"whole",#N/A,FALSE,"CS CPH YTD"}</definedName>
    <definedName name="aaaaaaaaa" localSheetId="3" hidden="1">{"whole",#N/A,FALSE,"CS HC";"whole",#N/A,FALSE,"CS_ACTvsBud";"whole",#N/A,FALSE,"CSTrail3mo";"whole",#N/A,FALSE,"CS Cost Per Head ";"whole",#N/A,FALSE,"CS CPH YTD"}</definedName>
    <definedName name="aaaaaaaaa" hidden="1">{"whole",#N/A,FALSE,"CS HC";"whole",#N/A,FALSE,"CS_ACTvsBud";"whole",#N/A,FALSE,"CSTrail3mo";"whole",#N/A,FALSE,"CS Cost Per Head ";"whole",#N/A,FALSE,"CS CPH YTD"}</definedName>
    <definedName name="aaaaaaaaaa" localSheetId="0" hidden="1">{"whole",#N/A,FALSE,"CS FIN Sum For Rox";"whole",#N/A,FALSE,"Gen_Dist_Act_Bud";"whole",#N/A,FALSE,"Gen_Dist_T3months";"whole",#N/A,FALSE,"GD_PerP";"whole",#N/A,FALSE,"CS_DIST_ActvsBud";"whole",#N/A,FALSE,"CS_DIST_SUM_trail3mo"}</definedName>
    <definedName name="aaaaaaaaaa" localSheetId="3" hidden="1">{"whole",#N/A,FALSE,"CS FIN Sum For Rox";"whole",#N/A,FALSE,"Gen_Dist_Act_Bud";"whole",#N/A,FALSE,"Gen_Dist_T3months";"whole",#N/A,FALSE,"GD_PerP";"whole",#N/A,FALSE,"CS_DIST_ActvsBud";"whole",#N/A,FALSE,"CS_DIST_SUM_trail3mo"}</definedName>
    <definedName name="aaaaaaaaaa" hidden="1">{"whole",#N/A,FALSE,"CS FIN Sum For Rox";"whole",#N/A,FALSE,"Gen_Dist_Act_Bud";"whole",#N/A,FALSE,"Gen_Dist_T3months";"whole",#N/A,FALSE,"GD_PerP";"whole",#N/A,FALSE,"CS_DIST_ActvsBud";"whole",#N/A,FALSE,"CS_DIST_SUM_trail3mo"}</definedName>
    <definedName name="aaaaaaaaaaa" localSheetId="0" hidden="1">{"whole",#N/A,FALSE,"Gen_Dist_Act_Bud";"whole",#N/A,FALSE,"Gen_Dist_T3months";"whole",#N/A,FALSE,"GD_PerP";"whole",#N/A,FALSE,"HR_Dist";"whole",#N/A,FALSE,"CS_DIST_ActvsBud";"whole",#N/A,FALSE,"CS_DIST_SUM_trail3mo";"whole",#N/A,FALSE,"ITG_act_Bud";"whole",#N/A,FALSE,"ITG_T3Mo"}</definedName>
    <definedName name="aaaaaaaaaaa" localSheetId="3" hidden="1">{"whole",#N/A,FALSE,"Gen_Dist_Act_Bud";"whole",#N/A,FALSE,"Gen_Dist_T3months";"whole",#N/A,FALSE,"GD_PerP";"whole",#N/A,FALSE,"HR_Dist";"whole",#N/A,FALSE,"CS_DIST_ActvsBud";"whole",#N/A,FALSE,"CS_DIST_SUM_trail3mo";"whole",#N/A,FALSE,"ITG_act_Bud";"whole",#N/A,FALSE,"ITG_T3Mo"}</definedName>
    <definedName name="aaaaaaaaaaa" hidden="1">{"whole",#N/A,FALSE,"Gen_Dist_Act_Bud";"whole",#N/A,FALSE,"Gen_Dist_T3months";"whole",#N/A,FALSE,"GD_PerP";"whole",#N/A,FALSE,"HR_Dist";"whole",#N/A,FALSE,"CS_DIST_ActvsBud";"whole",#N/A,FALSE,"CS_DIST_SUM_trail3mo";"whole",#N/A,FALSE,"ITG_act_Bud";"whole",#N/A,FALSE,"ITG_T3Mo"}</definedName>
    <definedName name="aaaaaaaaaaaaa" localSheetId="0" hidden="1">{"whole",#N/A,FALSE,"6701";"whole",#N/A,FALSE,"6702";"whole",#N/A,FALSE,"7710";"whole",#N/A,FALSE,"7714";"whole",#N/A,FALSE,"7729";"whole",#N/A,FALSE,"7730";"whole",#N/A,FALSE,"7731";"whole",#N/A,FALSE,"7736";"whole",#N/A,FALSE,"7737";"whole",#N/A,FALSE,"7738";"whole",#N/A,FALSE,"7743";"Whole",#N/A,FALSE,"7740";"whole",#N/A,FALSE,"7744";"whole",#N/A,FALSE,"7745"}</definedName>
    <definedName name="aaaaaaaaaaaaa" localSheetId="3" hidden="1">{"whole",#N/A,FALSE,"6701";"whole",#N/A,FALSE,"6702";"whole",#N/A,FALSE,"7710";"whole",#N/A,FALSE,"7714";"whole",#N/A,FALSE,"7729";"whole",#N/A,FALSE,"7730";"whole",#N/A,FALSE,"7731";"whole",#N/A,FALSE,"7736";"whole",#N/A,FALSE,"7737";"whole",#N/A,FALSE,"7738";"whole",#N/A,FALSE,"7743";"Whole",#N/A,FALSE,"7740";"whole",#N/A,FALSE,"7744";"whole",#N/A,FALSE,"7745"}</definedName>
    <definedName name="aaaaaaaaaaaaa" hidden="1">{"whole",#N/A,FALSE,"6701";"whole",#N/A,FALSE,"6702";"whole",#N/A,FALSE,"7710";"whole",#N/A,FALSE,"7714";"whole",#N/A,FALSE,"7729";"whole",#N/A,FALSE,"7730";"whole",#N/A,FALSE,"7731";"whole",#N/A,FALSE,"7736";"whole",#N/A,FALSE,"7737";"whole",#N/A,FALSE,"7738";"whole",#N/A,FALSE,"7743";"Whole",#N/A,FALSE,"7740";"whole",#N/A,FALSE,"7744";"whole",#N/A,FALSE,"7745"}</definedName>
    <definedName name="aaaaaaaaaaaaaaaaaaa"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aaaaaaaaaaaaaaaaaaa"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aaaaaaaaaaaaaaaaaaa"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aaab" localSheetId="0" hidden="1">{"whole",#N/A,FALSE,"Gen_Dist_Act_Bud";"whole",#N/A,FALSE,"Gen_Dist_T3months";"whole",#N/A,FALSE,"GD_PerP";"whole",#N/A,FALSE,"HR Dist'n"}</definedName>
    <definedName name="aaab" localSheetId="3" hidden="1">{"whole",#N/A,FALSE,"Gen_Dist_Act_Bud";"whole",#N/A,FALSE,"Gen_Dist_T3months";"whole",#N/A,FALSE,"GD_PerP";"whole",#N/A,FALSE,"HR Dist'n"}</definedName>
    <definedName name="aaab" hidden="1">{"whole",#N/A,FALSE,"Gen_Dist_Act_Bud";"whole",#N/A,FALSE,"Gen_Dist_T3months";"whole",#N/A,FALSE,"GD_PerP";"whole",#N/A,FALSE,"HR Dist'n"}</definedName>
    <definedName name="ab" localSheetId="0" hidden="1">{"whole",#N/A,FALSE,"6701";"whole",#N/A,FALSE,"6702";"whole",#N/A,FALSE,"7710";"whole",#N/A,FALSE,"7714";"whole",#N/A,FALSE,"7729";"whole",#N/A,FALSE,"7730";"whole",#N/A,FALSE,"7731";"whole",#N/A,FALSE,"7736";"whole",#N/A,FALSE,"7737";"whole",#N/A,FALSE,"7738";"whole",#N/A,FALSE,"7743";"Whole",#N/A,FALSE,"7740";"whole",#N/A,FALSE,"7744";"whole",#N/A,FALSE,"7745"}</definedName>
    <definedName name="ab" localSheetId="3" hidden="1">{"whole",#N/A,FALSE,"6701";"whole",#N/A,FALSE,"6702";"whole",#N/A,FALSE,"7710";"whole",#N/A,FALSE,"7714";"whole",#N/A,FALSE,"7729";"whole",#N/A,FALSE,"7730";"whole",#N/A,FALSE,"7731";"whole",#N/A,FALSE,"7736";"whole",#N/A,FALSE,"7737";"whole",#N/A,FALSE,"7738";"whole",#N/A,FALSE,"7743";"Whole",#N/A,FALSE,"7740";"whole",#N/A,FALSE,"7744";"whole",#N/A,FALSE,"7745"}</definedName>
    <definedName name="ab" hidden="1">{"whole",#N/A,FALSE,"6701";"whole",#N/A,FALSE,"6702";"whole",#N/A,FALSE,"7710";"whole",#N/A,FALSE,"7714";"whole",#N/A,FALSE,"7729";"whole",#N/A,FALSE,"7730";"whole",#N/A,FALSE,"7731";"whole",#N/A,FALSE,"7736";"whole",#N/A,FALSE,"7737";"whole",#N/A,FALSE,"7738";"whole",#N/A,FALSE,"7743";"Whole",#N/A,FALSE,"7740";"whole",#N/A,FALSE,"7744";"whole",#N/A,FALSE,"7745"}</definedName>
    <definedName name="AS2DocOpenMode" hidden="1">"AS2DocumentEdit"</definedName>
    <definedName name="asdkjh" localSheetId="0" hidden="1">{"whole",#N/A,FALSE,"Gen_Dist_Act_Bud";"whole",#N/A,FALSE,"Gen_Dist_T3months";"whole",#N/A,FALSE,"GD_PerP";"whole",#N/A,FALSE,"HR Dist'n"}</definedName>
    <definedName name="asdkjh" localSheetId="3" hidden="1">{"whole",#N/A,FALSE,"Gen_Dist_Act_Bud";"whole",#N/A,FALSE,"Gen_Dist_T3months";"whole",#N/A,FALSE,"GD_PerP";"whole",#N/A,FALSE,"HR Dist'n"}</definedName>
    <definedName name="asdkjh" hidden="1">{"whole",#N/A,FALSE,"Gen_Dist_Act_Bud";"whole",#N/A,FALSE,"Gen_Dist_T3months";"whole",#N/A,FALSE,"GD_PerP";"whole",#N/A,FALSE,"HR Dist'n"}</definedName>
    <definedName name="b" localSheetId="0" hidden="1">{#N/A,#N/A,FALSE,"Summary";#N/A,#N/A,FALSE,"Expense";#N/A,#N/A,FALSE,"Capital"}</definedName>
    <definedName name="b" localSheetId="3" hidden="1">{#N/A,#N/A,FALSE,"Summary";#N/A,#N/A,FALSE,"Expense";#N/A,#N/A,FALSE,"Capital"}</definedName>
    <definedName name="b" hidden="1">{#N/A,#N/A,FALSE,"Summary";#N/A,#N/A,FALSE,"Expense";#N/A,#N/A,FALSE,"Capital"}</definedName>
    <definedName name="bb" localSheetId="0" hidden="1">{"whole",#N/A,FALSE,"6701";"whole",#N/A,FALSE,"6702";"whole",#N/A,FALSE,"7710";"whole",#N/A,FALSE,"7714";"whole",#N/A,FALSE,"7729";"whole",#N/A,FALSE,"7730";"whole",#N/A,FALSE,"7731";"whole",#N/A,FALSE,"7736";"whole",#N/A,FALSE,"7737";"whole",#N/A,FALSE,"7738";"whole",#N/A,FALSE,"7743";"Whole",#N/A,FALSE,"7740";"whole",#N/A,FALSE,"7744";"whole",#N/A,FALSE,"7745"}</definedName>
    <definedName name="bb" localSheetId="3" hidden="1">{"whole",#N/A,FALSE,"6701";"whole",#N/A,FALSE,"6702";"whole",#N/A,FALSE,"7710";"whole",#N/A,FALSE,"7714";"whole",#N/A,FALSE,"7729";"whole",#N/A,FALSE,"7730";"whole",#N/A,FALSE,"7731";"whole",#N/A,FALSE,"7736";"whole",#N/A,FALSE,"7737";"whole",#N/A,FALSE,"7738";"whole",#N/A,FALSE,"7743";"Whole",#N/A,FALSE,"7740";"whole",#N/A,FALSE,"7744";"whole",#N/A,FALSE,"7745"}</definedName>
    <definedName name="bb" hidden="1">{"whole",#N/A,FALSE,"6701";"whole",#N/A,FALSE,"6702";"whole",#N/A,FALSE,"7710";"whole",#N/A,FALSE,"7714";"whole",#N/A,FALSE,"7729";"whole",#N/A,FALSE,"7730";"whole",#N/A,FALSE,"7731";"whole",#N/A,FALSE,"7736";"whole",#N/A,FALSE,"7737";"whole",#N/A,FALSE,"7738";"whole",#N/A,FALSE,"7743";"Whole",#N/A,FALSE,"7740";"whole",#N/A,FALSE,"7744";"whole",#N/A,FALSE,"7745"}</definedName>
    <definedName name="bbb"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bbb"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bbb"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CMO_Asset_Sale_Yr">Ingredients!$D$78</definedName>
    <definedName name="CPP"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CPP"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CPP"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d" localSheetId="0" hidden="1">{"whole",#N/A,FALSE,"Gen_Dist_Act_Bud";"whole",#N/A,FALSE,"Gen_Dist_T3months";"whole",#N/A,FALSE,"GD_PerP";"whole",#N/A,FALSE,"HR_Dist";"whole",#N/A,FALSE,"CS_DIST_ActvsBud";"whole",#N/A,FALSE,"CS_DIST_SUM_trail3mo";"whole",#N/A,FALSE,"ITG_act_Bud";"whole",#N/A,FALSE,"ITG_T3Mo"}</definedName>
    <definedName name="d" localSheetId="3" hidden="1">{"whole",#N/A,FALSE,"Gen_Dist_Act_Bud";"whole",#N/A,FALSE,"Gen_Dist_T3months";"whole",#N/A,FALSE,"GD_PerP";"whole",#N/A,FALSE,"HR_Dist";"whole",#N/A,FALSE,"CS_DIST_ActvsBud";"whole",#N/A,FALSE,"CS_DIST_SUM_trail3mo";"whole",#N/A,FALSE,"ITG_act_Bud";"whole",#N/A,FALSE,"ITG_T3Mo"}</definedName>
    <definedName name="d" hidden="1">{"whole",#N/A,FALSE,"Gen_Dist_Act_Bud";"whole",#N/A,FALSE,"Gen_Dist_T3months";"whole",#N/A,FALSE,"GD_PerP";"whole",#N/A,FALSE,"HR_Dist";"whole",#N/A,FALSE,"CS_DIST_ActvsBud";"whole",#N/A,FALSE,"CS_DIST_SUM_trail3mo";"whole",#N/A,FALSE,"ITG_act_Bud";"whole",#N/A,FALSE,"ITG_T3Mo"}</definedName>
    <definedName name="DELITE"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DELITE"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DELITE"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dfas" localSheetId="0"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dfas" localSheetId="3"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dfas"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e" localSheetId="0" hidden="1">{"whole",#N/A,FALSE,"6701";"whole",#N/A,FALSE,"6702";"whole",#N/A,FALSE,"7710";"whole",#N/A,FALSE,"7714";"whole",#N/A,FALSE,"7729";"whole",#N/A,FALSE,"7730";"whole",#N/A,FALSE,"7731";"whole",#N/A,FALSE,"7736";"whole",#N/A,FALSE,"7737";"whole",#N/A,FALSE,"7738";"whole",#N/A,FALSE,"7743";"Whole",#N/A,FALSE,"7740";"whole",#N/A,FALSE,"7744";"whole",#N/A,FALSE,"7745"}</definedName>
    <definedName name="e" localSheetId="3" hidden="1">{"whole",#N/A,FALSE,"6701";"whole",#N/A,FALSE,"6702";"whole",#N/A,FALSE,"7710";"whole",#N/A,FALSE,"7714";"whole",#N/A,FALSE,"7729";"whole",#N/A,FALSE,"7730";"whole",#N/A,FALSE,"7731";"whole",#N/A,FALSE,"7736";"whole",#N/A,FALSE,"7737";"whole",#N/A,FALSE,"7738";"whole",#N/A,FALSE,"7743";"Whole",#N/A,FALSE,"7740";"whole",#N/A,FALSE,"7744";"whole",#N/A,FALSE,"7745"}</definedName>
    <definedName name="e" hidden="1">{"whole",#N/A,FALSE,"6701";"whole",#N/A,FALSE,"6702";"whole",#N/A,FALSE,"7710";"whole",#N/A,FALSE,"7714";"whole",#N/A,FALSE,"7729";"whole",#N/A,FALSE,"7730";"whole",#N/A,FALSE,"7731";"whole",#N/A,FALSE,"7736";"whole",#N/A,FALSE,"7737";"whole",#N/A,FALSE,"7738";"whole",#N/A,FALSE,"7743";"Whole",#N/A,FALSE,"7740";"whole",#N/A,FALSE,"7744";"whole",#N/A,FALSE,"7745"}</definedName>
    <definedName name="eee" localSheetId="0" hidden="1">{"whole",#N/A,FALSE,"6701";"whole",#N/A,FALSE,"6702";"whole",#N/A,FALSE,"7710";"whole",#N/A,FALSE,"7714";"whole",#N/A,FALSE,"7729";"whole",#N/A,FALSE,"7730";"whole",#N/A,FALSE,"7731";"whole",#N/A,FALSE,"7736";"whole",#N/A,FALSE,"7737";"whole",#N/A,FALSE,"7738";"whole",#N/A,FALSE,"7743";"Whole",#N/A,FALSE,"7740";"whole",#N/A,FALSE,"7744";"whole",#N/A,FALSE,"7745"}</definedName>
    <definedName name="eee" localSheetId="3" hidden="1">{"whole",#N/A,FALSE,"6701";"whole",#N/A,FALSE,"6702";"whole",#N/A,FALSE,"7710";"whole",#N/A,FALSE,"7714";"whole",#N/A,FALSE,"7729";"whole",#N/A,FALSE,"7730";"whole",#N/A,FALSE,"7731";"whole",#N/A,FALSE,"7736";"whole",#N/A,FALSE,"7737";"whole",#N/A,FALSE,"7738";"whole",#N/A,FALSE,"7743";"Whole",#N/A,FALSE,"7740";"whole",#N/A,FALSE,"7744";"whole",#N/A,FALSE,"7745"}</definedName>
    <definedName name="eee" hidden="1">{"whole",#N/A,FALSE,"6701";"whole",#N/A,FALSE,"6702";"whole",#N/A,FALSE,"7710";"whole",#N/A,FALSE,"7714";"whole",#N/A,FALSE,"7729";"whole",#N/A,FALSE,"7730";"whole",#N/A,FALSE,"7731";"whole",#N/A,FALSE,"7736";"whole",#N/A,FALSE,"7737";"whole",#N/A,FALSE,"7738";"whole",#N/A,FALSE,"7743";"Whole",#N/A,FALSE,"7740";"whole",#N/A,FALSE,"7744";"whole",#N/A,FALSE,"7745"}</definedName>
    <definedName name="eltonwelke" localSheetId="0" hidden="1">{"whole",#N/A,FALSE,"Gen_Dist_Act_Bud";"whole",#N/A,FALSE,"Gen_Dist_T3months";"whole",#N/A,FALSE,"GD_PerP";"whole",#N/A,FALSE,"HR Dist'n"}</definedName>
    <definedName name="eltonwelke" localSheetId="3" hidden="1">{"whole",#N/A,FALSE,"Gen_Dist_Act_Bud";"whole",#N/A,FALSE,"Gen_Dist_T3months";"whole",#N/A,FALSE,"GD_PerP";"whole",#N/A,FALSE,"HR Dist'n"}</definedName>
    <definedName name="eltonwelke" hidden="1">{"whole",#N/A,FALSE,"Gen_Dist_Act_Bud";"whole",#N/A,FALSE,"Gen_Dist_T3months";"whole",#N/A,FALSE,"GD_PerP";"whole",#N/A,FALSE,"HR Dist'n"}</definedName>
    <definedName name="ExecutiveSummary" localSheetId="0" hidden="1">{#N/A,#N/A,FALSE,"Summary";#N/A,#N/A,FALSE,"Details";#N/A,#N/A,FALSE,"Month-Hd";#N/A,#N/A,FALSE,"YTD-Hd";#N/A,#N/A,FALSE,"Capital"}</definedName>
    <definedName name="ExecutiveSummary" localSheetId="3" hidden="1">{#N/A,#N/A,FALSE,"Summary";#N/A,#N/A,FALSE,"Details";#N/A,#N/A,FALSE,"Month-Hd";#N/A,#N/A,FALSE,"YTD-Hd";#N/A,#N/A,FALSE,"Capital"}</definedName>
    <definedName name="ExecutiveSummary" hidden="1">{#N/A,#N/A,FALSE,"Summary";#N/A,#N/A,FALSE,"Details";#N/A,#N/A,FALSE,"Month-Hd";#N/A,#N/A,FALSE,"YTD-Hd";#N/A,#N/A,FALSE,"Capital"}</definedName>
    <definedName name="f"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f"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f"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fddf" localSheetId="0" hidden="1">{#N/A,#N/A,FALSE,"Summary";#N/A,#N/A,FALSE,"Details";#N/A,#N/A,FALSE,"Month-Hd";#N/A,#N/A,FALSE,"YTD-Hd";#N/A,#N/A,FALSE,"Capital"}</definedName>
    <definedName name="fddf" localSheetId="3" hidden="1">{#N/A,#N/A,FALSE,"Summary";#N/A,#N/A,FALSE,"Details";#N/A,#N/A,FALSE,"Month-Hd";#N/A,#N/A,FALSE,"YTD-Hd";#N/A,#N/A,FALSE,"Capital"}</definedName>
    <definedName name="fddf" hidden="1">{#N/A,#N/A,FALSE,"Summary";#N/A,#N/A,FALSE,"Details";#N/A,#N/A,FALSE,"Month-Hd";#N/A,#N/A,FALSE,"YTD-Hd";#N/A,#N/A,FALSE,"Capital"}</definedName>
    <definedName name="fdf" localSheetId="0" hidden="1">{#N/A,#N/A,FALSE,"Summary";#N/A,#N/A,FALSE,"Expense";#N/A,#N/A,FALSE,"Capital"}</definedName>
    <definedName name="fdf" localSheetId="3" hidden="1">{#N/A,#N/A,FALSE,"Summary";#N/A,#N/A,FALSE,"Expense";#N/A,#N/A,FALSE,"Capital"}</definedName>
    <definedName name="fdf" hidden="1">{#N/A,#N/A,FALSE,"Summary";#N/A,#N/A,FALSE,"Expense";#N/A,#N/A,FALSE,"Capital"}</definedName>
    <definedName name="ff" localSheetId="0" hidden="1">{"whole",#N/A,FALSE,"Gen_Dist_Act_Bud";"whole",#N/A,FALSE,"Gen_Dist_T3months";"whole",#N/A,FALSE,"GD_PerP";"whole",#N/A,FALSE,"HR_Dist";"whole",#N/A,FALSE,"CS_DIST_ActvsBud";"whole",#N/A,FALSE,"CS_DIST_SUM_trail3mo";"whole",#N/A,FALSE,"ITG_act_Bud";"whole",#N/A,FALSE,"ITG_T3Mo"}</definedName>
    <definedName name="ff" localSheetId="3" hidden="1">{"whole",#N/A,FALSE,"Gen_Dist_Act_Bud";"whole",#N/A,FALSE,"Gen_Dist_T3months";"whole",#N/A,FALSE,"GD_PerP";"whole",#N/A,FALSE,"HR_Dist";"whole",#N/A,FALSE,"CS_DIST_ActvsBud";"whole",#N/A,FALSE,"CS_DIST_SUM_trail3mo";"whole",#N/A,FALSE,"ITG_act_Bud";"whole",#N/A,FALSE,"ITG_T3Mo"}</definedName>
    <definedName name="ff" hidden="1">{"whole",#N/A,FALSE,"Gen_Dist_Act_Bud";"whole",#N/A,FALSE,"Gen_Dist_T3months";"whole",#N/A,FALSE,"GD_PerP";"whole",#N/A,FALSE,"HR_Dist";"whole",#N/A,FALSE,"CS_DIST_ActvsBud";"whole",#N/A,FALSE,"CS_DIST_SUM_trail3mo";"whole",#N/A,FALSE,"ITG_act_Bud";"whole",#N/A,FALSE,"ITG_T3Mo"}</definedName>
    <definedName name="Forecast" localSheetId="0" hidden="1">{#N/A,#N/A,FALSE,"Summary";#N/A,#N/A,FALSE,"Details";#N/A,#N/A,FALSE,"Month-Hd";#N/A,#N/A,FALSE,"YTD-Hd";#N/A,#N/A,FALSE,"Capital"}</definedName>
    <definedName name="Forecast" localSheetId="3" hidden="1">{#N/A,#N/A,FALSE,"Summary";#N/A,#N/A,FALSE,"Details";#N/A,#N/A,FALSE,"Month-Hd";#N/A,#N/A,FALSE,"YTD-Hd";#N/A,#N/A,FALSE,"Capital"}</definedName>
    <definedName name="Forecast" hidden="1">{#N/A,#N/A,FALSE,"Summary";#N/A,#N/A,FALSE,"Details";#N/A,#N/A,FALSE,"Month-Hd";#N/A,#N/A,FALSE,"YTD-Hd";#N/A,#N/A,FALSE,"Capital"}</definedName>
    <definedName name="FUCKOFF" localSheetId="0" hidden="1">{"whole",#N/A,FALSE,"6701";"whole",#N/A,FALSE,"6702";"whole",#N/A,FALSE,"7710";"whole",#N/A,FALSE,"7714";"whole",#N/A,FALSE,"7729";"whole",#N/A,FALSE,"7730";"whole",#N/A,FALSE,"7731";"whole",#N/A,FALSE,"7736";"whole",#N/A,FALSE,"7737";"whole",#N/A,FALSE,"7738";"whole",#N/A,FALSE,"7743";"Whole",#N/A,FALSE,"7740";"whole",#N/A,FALSE,"7744";"whole",#N/A,FALSE,"7745"}</definedName>
    <definedName name="FUCKOFF" localSheetId="3" hidden="1">{"whole",#N/A,FALSE,"6701";"whole",#N/A,FALSE,"6702";"whole",#N/A,FALSE,"7710";"whole",#N/A,FALSE,"7714";"whole",#N/A,FALSE,"7729";"whole",#N/A,FALSE,"7730";"whole",#N/A,FALSE,"7731";"whole",#N/A,FALSE,"7736";"whole",#N/A,FALSE,"7737";"whole",#N/A,FALSE,"7738";"whole",#N/A,FALSE,"7743";"Whole",#N/A,FALSE,"7740";"whole",#N/A,FALSE,"7744";"whole",#N/A,FALSE,"7745"}</definedName>
    <definedName name="FUCKOFF" hidden="1">{"whole",#N/A,FALSE,"6701";"whole",#N/A,FALSE,"6702";"whole",#N/A,FALSE,"7710";"whole",#N/A,FALSE,"7714";"whole",#N/A,FALSE,"7729";"whole",#N/A,FALSE,"7730";"whole",#N/A,FALSE,"7731";"whole",#N/A,FALSE,"7736";"whole",#N/A,FALSE,"7737";"whole",#N/A,FALSE,"7738";"whole",#N/A,FALSE,"7743";"Whole",#N/A,FALSE,"7740";"whole",#N/A,FALSE,"7744";"whole",#N/A,FALSE,"7745"}</definedName>
    <definedName name="g" localSheetId="0" hidden="1">{"whole",#N/A,FALSE,"Gen_Dist_Act_Bud";"whole",#N/A,FALSE,"Gen_Dist_T3months";"whole",#N/A,FALSE,"GD_PerP";"whole",#N/A,FALSE,"HR Dist'n"}</definedName>
    <definedName name="g" localSheetId="3" hidden="1">{"whole",#N/A,FALSE,"Gen_Dist_Act_Bud";"whole",#N/A,FALSE,"Gen_Dist_T3months";"whole",#N/A,FALSE,"GD_PerP";"whole",#N/A,FALSE,"HR Dist'n"}</definedName>
    <definedName name="g" hidden="1">{"whole",#N/A,FALSE,"Gen_Dist_Act_Bud";"whole",#N/A,FALSE,"Gen_Dist_T3months";"whole",#N/A,FALSE,"GD_PerP";"whole",#N/A,FALSE,"HR Dist'n"}</definedName>
    <definedName name="h"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h"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h"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i" localSheetId="0" hidden="1">{"whole",#N/A,FALSE,"CS HC";"whole",#N/A,FALSE,"CS_ACTvsBud";"whole",#N/A,FALSE,"CSTrail3mo";"whole",#N/A,FALSE,"CS Cost Per Head ";"whole",#N/A,FALSE,"CS CPH YTD"}</definedName>
    <definedName name="i" localSheetId="3" hidden="1">{"whole",#N/A,FALSE,"CS HC";"whole",#N/A,FALSE,"CS_ACTvsBud";"whole",#N/A,FALSE,"CSTrail3mo";"whole",#N/A,FALSE,"CS Cost Per Head ";"whole",#N/A,FALSE,"CS CPH YTD"}</definedName>
    <definedName name="i" hidden="1">{"whole",#N/A,FALSE,"CS HC";"whole",#N/A,FALSE,"CS_ACTvsBud";"whole",#N/A,FALSE,"CSTrail3mo";"whole",#N/A,FALSE,"CS Cost Per Head ";"whole",#N/A,FALSE,"CS CPH YTD"}</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SIC_EPS_EXCL" hidden="1">"c85"</definedName>
    <definedName name="IQ_BASIC_EPS_INCL" hidden="1">"c86"</definedName>
    <definedName name="IQ_BASIC_NORMAL_EPS" hidden="1">"c1592"</definedName>
    <definedName name="IQ_BASIC_WEIGHT" hidden="1">"c87"</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L_Q" hidden="1">"c101"</definedName>
    <definedName name="IQ_CAL_Y" hidden="1">"c102"</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IZED_INTEREST" hidden="1">"c2076"</definedName>
    <definedName name="IQ_CASH" hidden="1">"c1458"</definedName>
    <definedName name="IQ_CASH_ACQUIRE_CF" hidden="1">"c1630"</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EST" hidden="1">"c1667"</definedName>
    <definedName name="IQ_CFPS_HIGH_EST" hidden="1">"c1669"</definedName>
    <definedName name="IQ_CFPS_LOW_EST" hidden="1">"c1670"</definedName>
    <definedName name="IQ_CFPS_MEDIAN_EST" hidden="1">"c1668"</definedName>
    <definedName name="IQ_CFPS_NUM_EST" hidden="1">"c1671"</definedName>
    <definedName name="IQ_CFPS_STDDEV_EST" hidden="1">"c1672"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UTSTANDING_BS_DATE" hidden="1">"c1971"</definedName>
    <definedName name="IQ_CLASSA_OUTSTANDING_FILING_DATE" hidden="1">"c1973"</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OTHER_COST" hidden="1">"c284"</definedName>
    <definedName name="IQ_DEF_BENEFIT_ROA" hidden="1">"c285"</definedName>
    <definedName name="IQ_DEF_BENEFIT_SERVICE_COST" hidden="1">"c286"</definedName>
    <definedName name="IQ_DEF_BENEFIT_TOTAL_COST" hidden="1">"c287"</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V_PAYMENT_DATE" hidden="1">"c2106"</definedName>
    <definedName name="IQ_DIV_RECORD_DATE" hidden="1">"c2105"</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EST" hidden="1">"c1674"</definedName>
    <definedName name="IQ_DPS_HIGH_EST" hidden="1">"c1676"</definedName>
    <definedName name="IQ_DPS_LOW_EST" hidden="1">"c1677"</definedName>
    <definedName name="IQ_DPS_MEDIAN_EST" hidden="1">"c1675"</definedName>
    <definedName name="IQ_DPS_NUM_EST" hidden="1">"c1678"</definedName>
    <definedName name="IQ_DPS_STDDEV_EST" hidden="1">"c1679"</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ST" hidden="1">"c1681"</definedName>
    <definedName name="IQ_EBIT_HIGH_EST" hidden="1">"c1683"</definedName>
    <definedName name="IQ_EBIT_INT" hidden="1">"c360"</definedName>
    <definedName name="IQ_EBIT_LOW_EST" hidden="1">"c1684"</definedName>
    <definedName name="IQ_EBIT_MARGIN" hidden="1">"c359"</definedName>
    <definedName name="IQ_EBIT_MEDIAN_EST" hidden="1">"c1682"</definedName>
    <definedName name="IQ_EBIT_NUM_EST" hidden="1">"c1685"</definedName>
    <definedName name="IQ_EBIT_OVER_IE" hidden="1">"c1369"</definedName>
    <definedName name="IQ_EBIT_STDDEV_EST" hidden="1">"c1686"</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ST" hidden="1">"c369"</definedName>
    <definedName name="IQ_EBITDA_HIGH_EST" hidden="1">"c370"</definedName>
    <definedName name="IQ_EBITDA_INT" hidden="1">"c373"</definedName>
    <definedName name="IQ_EBITDA_LOW_EST" hidden="1">"c371"</definedName>
    <definedName name="IQ_EBITDA_MARGIN" hidden="1">"c372"</definedName>
    <definedName name="IQ_EBITDA_MEDIAN_EST" hidden="1">"c1663"</definedName>
    <definedName name="IQ_EBITDA_NUM_EST" hidden="1">"c374"</definedName>
    <definedName name="IQ_EBITDA_OVER_TOTAL_IE" hidden="1">"c1371"</definedName>
    <definedName name="IQ_EBITDA_STDDEV_EST" hidden="1">"c375"</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GW_EST" hidden="1">"c1737"</definedName>
    <definedName name="IQ_EPS_GW_HIGH_EST" hidden="1">"c1739"</definedName>
    <definedName name="IQ_EPS_GW_LOW_EST" hidden="1">"c1740"</definedName>
    <definedName name="IQ_EPS_GW_MEDIAN_EST" hidden="1">"c1738"</definedName>
    <definedName name="IQ_EPS_GW_NUM_EST" hidden="1">"c1741"</definedName>
    <definedName name="IQ_EPS_GW_STDDEV_EST" hidden="1">"c1742"</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REPORTED_EST" hidden="1">"c1744"</definedName>
    <definedName name="IQ_EPS_REPORTED_HIGH_EST" hidden="1">"c1746"</definedName>
    <definedName name="IQ_EPS_REPORTED_LOW_EST" hidden="1">"c1747"</definedName>
    <definedName name="IQ_EPS_REPORTED_MEDIAN_EST" hidden="1">"c1745"</definedName>
    <definedName name="IQ_EPS_REPORTED_NUM_EST" hidden="1">"c1748"</definedName>
    <definedName name="IQ_EPS_REPORTED_STDDEV_EST" hidden="1">"c1749"</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CFPS" hidden="1">"c1673"</definedName>
    <definedName name="IQ_EST_ACT_DPS" hidden="1">"c1680"</definedName>
    <definedName name="IQ_EST_ACT_EBIT" hidden="1">"c1687"</definedName>
    <definedName name="IQ_EST_ACT_EBITDA" hidden="1">"c1664"</definedName>
    <definedName name="IQ_EST_ACT_EPS" hidden="1">"c1648"</definedName>
    <definedName name="IQ_EST_ACT_EPS_GW" hidden="1">"c1743"</definedName>
    <definedName name="IQ_EST_ACT_EPS_REPORTED" hidden="1">"c1750"</definedName>
    <definedName name="IQ_EST_ACT_FFO" hidden="1">"c1666"</definedName>
    <definedName name="IQ_EST_ACT_NAV" hidden="1">"c1757"</definedName>
    <definedName name="IQ_EST_ACT_NI" hidden="1">"c1722"</definedName>
    <definedName name="IQ_EST_ACT_NI_GW" hidden="1">"c1729"</definedName>
    <definedName name="IQ_EST_ACT_NI_REPORTED" hidden="1">"c1736"</definedName>
    <definedName name="IQ_EST_ACT_OPER_INC" hidden="1">"c1694"</definedName>
    <definedName name="IQ_EST_ACT_PRETAX_GW_INC" hidden="1">"c1708"</definedName>
    <definedName name="IQ_EST_ACT_PRETAX_INC" hidden="1">"c1701"</definedName>
    <definedName name="IQ_EST_ACT_PRETAX_REPORT_INC" hidden="1">"c1715"</definedName>
    <definedName name="IQ_EST_ACT_REV" hidden="1">"c2113"</definedName>
    <definedName name="IQ_EST_CFPS_DIFF" hidden="1">"c1871"</definedName>
    <definedName name="IQ_EST_CFPS_GROWTH_1YR" hidden="1">"c1774"</definedName>
    <definedName name="IQ_EST_CFPS_GROWTH_2YR" hidden="1">"c1775"</definedName>
    <definedName name="IQ_EST_CFPS_GROWTH_Q_1YR" hidden="1">"c1776"</definedName>
    <definedName name="IQ_EST_CFPS_SEQ_GROWTH_Q" hidden="1">"c1777"</definedName>
    <definedName name="IQ_EST_CFPS_SURPRISE_PERCENT" hidden="1">"c1872"</definedName>
    <definedName name="IQ_EST_CURRENCY" hidden="1">"c2140"</definedName>
    <definedName name="IQ_EST_DATE" hidden="1">"c1634"</definedName>
    <definedName name="IQ_EST_DPS_DIFF" hidden="1">"c1873"</definedName>
    <definedName name="IQ_EST_DPS_GROWTH_1YR" hidden="1">"c1778"</definedName>
    <definedName name="IQ_EST_DPS_GROWTH_2YR" hidden="1">"c1779"</definedName>
    <definedName name="IQ_EST_DPS_GROWTH_Q_1YR" hidden="1">"c1780"</definedName>
    <definedName name="IQ_EST_DPS_SEQ_GROWTH_Q" hidden="1">"c1781"</definedName>
    <definedName name="IQ_EST_DPS_SURPRISE_PERCENT" hidden="1">"c1874"</definedName>
    <definedName name="IQ_EST_EBIT_DIFF" hidden="1">"c1875"</definedName>
    <definedName name="IQ_EST_EBIT_SURPRISE_PERCENT" hidden="1">"c1876"</definedName>
    <definedName name="IQ_EST_EBITDA_DIFF" hidden="1">"c1867"</definedName>
    <definedName name="IQ_EST_EBITDA_GROWTH_1YR" hidden="1">"c1766"</definedName>
    <definedName name="IQ_EST_EBITDA_GROWTH_2YR" hidden="1">"c1767"</definedName>
    <definedName name="IQ_EST_EBITDA_GROWTH_Q_1YR" hidden="1">"c1768"</definedName>
    <definedName name="IQ_EST_EBITDA_SEQ_GROWTH_Q" hidden="1">"c1769"</definedName>
    <definedName name="IQ_EST_EBITDA_SURPRISE_PERCENT" hidden="1">"c1868"</definedName>
    <definedName name="IQ_EST_EPS_DIFF" hidden="1">"c1864"</definedName>
    <definedName name="IQ_EST_EPS_GROWTH_1YR" hidden="1">"c1636"</definedName>
    <definedName name="IQ_EST_EPS_GROWTH_2YR" hidden="1">"c1637"</definedName>
    <definedName name="IQ_EST_EPS_GROWTH_5YR" hidden="1">"c1655"</definedName>
    <definedName name="IQ_EST_EPS_GROWTH_5YR_HIGH" hidden="1">"c1657"</definedName>
    <definedName name="IQ_EST_EPS_GROWTH_5YR_LOW" hidden="1">"c1658"</definedName>
    <definedName name="IQ_EST_EPS_GROWTH_5YR_MEDIAN" hidden="1">"c1656"</definedName>
    <definedName name="IQ_EST_EPS_GROWTH_5YR_NUM" hidden="1">"c1659"</definedName>
    <definedName name="IQ_EST_EPS_GROWTH_5YR_STDDEV" hidden="1">"c1660"</definedName>
    <definedName name="IQ_EST_EPS_GROWTH_Q_1YR" hidden="1">"c1641"</definedName>
    <definedName name="IQ_EST_EPS_GW_DIFF" hidden="1">"c1891"</definedName>
    <definedName name="IQ_EST_EPS_GW_SURPRISE_PERCENT" hidden="1">"c1892"</definedName>
    <definedName name="IQ_EST_EPS_REPORT_DIFF" hidden="1">"c1893"</definedName>
    <definedName name="IQ_EST_EPS_REPORT_SURPRISE_PERCENT" hidden="1">"c1894"</definedName>
    <definedName name="IQ_EST_EPS_SEQ_GROWTH_Q" hidden="1">"c1764"</definedName>
    <definedName name="IQ_EST_EPS_SURPRISE_PERCENT" hidden="1">"c1635"</definedName>
    <definedName name="IQ_EST_FFO_DIFF" hidden="1">"c1869"</definedName>
    <definedName name="IQ_EST_FFO_GROWTH_1YR" hidden="1">"c1770"</definedName>
    <definedName name="IQ_EST_FFO_GROWTH_2YR" hidden="1">"c1771"</definedName>
    <definedName name="IQ_EST_FFO_GROWTH_Q_1YR" hidden="1">"c1772"</definedName>
    <definedName name="IQ_EST_FFO_SEQ_GROWTH_Q" hidden="1">"c1773"</definedName>
    <definedName name="IQ_EST_FFO_SURPRISE_PERCENT" hidden="1">"c1870"</definedName>
    <definedName name="IQ_EST_NAV_DIFF" hidden="1">"c1895"</definedName>
    <definedName name="IQ_EST_NAV_SURPRISE_PERCENT" hidden="1">"c1896"</definedName>
    <definedName name="IQ_EST_NI_DIFF" hidden="1">"c1885"</definedName>
    <definedName name="IQ_EST_NI_GW_DIFF" hidden="1">"c1887"</definedName>
    <definedName name="IQ_EST_NI_GW_SURPRISE_PERCENT" hidden="1">"c1888"</definedName>
    <definedName name="IQ_EST_NI_REPORT_DIFF" hidden="1">"c1889"</definedName>
    <definedName name="IQ_EST_NI_REPORT_SURPRISE_PERCENT" hidden="1">"c1890"</definedName>
    <definedName name="IQ_EST_NI_SURPRISE_PERCENT" hidden="1">"c1886"</definedName>
    <definedName name="IQ_EST_NUM_BUY" hidden="1">"c1759"</definedName>
    <definedName name="IQ_EST_NUM_HOLD" hidden="1">"c1761"</definedName>
    <definedName name="IQ_EST_NUM_NO_OPINION" hidden="1">"c1758"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SURPRISE_PERCENT" hidden="1">"c1878"</definedName>
    <definedName name="IQ_EST_PRE_TAX_DIFF" hidden="1">"c1879"</definedName>
    <definedName name="IQ_EST_PRE_TAX_GW_DIFF" hidden="1">"c1881"</definedName>
    <definedName name="IQ_EST_PRE_TAX_GW_SURPRISE_PERCENT" hidden="1">"c1882"</definedName>
    <definedName name="IQ_EST_PRE_TAX_REPORT_DIFF" hidden="1">"c1883"</definedName>
    <definedName name="IQ_EST_PRE_TAX_REPORT_SURPRISE_PERCENT" hidden="1">"c1884"</definedName>
    <definedName name="IQ_EST_PRE_TAX_SURPRISE_PERCENT" hidden="1">"c1880"</definedName>
    <definedName name="IQ_EST_REV_DIFF" hidden="1">"c1865"</definedName>
    <definedName name="IQ_EST_REV_GROWTH_1YR" hidden="1">"c1638"</definedName>
    <definedName name="IQ_EST_REV_GROWTH_2YR" hidden="1">"c1639"</definedName>
    <definedName name="IQ_EST_REV_GROWTH_Q_1YR" hidden="1">"c1640"</definedName>
    <definedName name="IQ_EST_REV_SEQ_GROWTH_Q" hidden="1">"c1765"</definedName>
    <definedName name="IQ_EST_REV_SURPRISE_PERCENT" hidden="1">"c1866"</definedName>
    <definedName name="IQ_EV_OVER_EMPLOYEE" hidden="1">"c1428"</definedName>
    <definedName name="IQ_EV_OVER_LTM_EBIT" hidden="1">"c1426"</definedName>
    <definedName name="IQ_EV_OVER_LTM_EBITDA" hidden="1">"c1427"</definedName>
    <definedName name="IQ_EV_OVER_LTM_REVENUE" hidden="1">"c1429"</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EST" hidden="1">"c418"</definedName>
    <definedName name="IQ_FFO_HIGH_EST" hidden="1">"c419"</definedName>
    <definedName name="IQ_FFO_LOW_EST" hidden="1">"c420"</definedName>
    <definedName name="IQ_FFO_MEDIAN_EST" hidden="1">"c1665"</definedName>
    <definedName name="IQ_FFO_NUM_EST" hidden="1">"c421"</definedName>
    <definedName name="IQ_FFO_STDDEV_EST" hidden="1">"c422"</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YEAR_LIFE" hidden="1">"c439"</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DIVID" hidden="1">"c1446"</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ROFIT" hidden="1">"c1378"</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PRICE" hidden="1">"c545"</definedName>
    <definedName name="IQ_HOMEOWNERS_WRITTEN" hidden="1">"c546"</definedName>
    <definedName name="IQ_IMPAIR_OIL" hidden="1">"c547"</definedName>
    <definedName name="IQ_IMPAIRMENT_GW" hidden="1">"c548"</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LAND" hidden="1">"c645"</definedName>
    <definedName name="IQ_LAST_SPLIT_DATE" hidden="1">"c2095"</definedName>
    <definedName name="IQ_LAST_SPLIT_FACTOR" hidden="1">"c2093"</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ICENSED_POPS" hidden="1">"c2123"</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W_TARGET_PRICE" hidden="1">"c1652"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REPAIR" hidden="1">"c2087"</definedName>
    <definedName name="IQ_MARKET_CAP_LFCF" hidden="1">"c2209"</definedName>
    <definedName name="IQ_MARKETCAP" hidden="1">"c712"</definedName>
    <definedName name="IQ_MARKETING" hidden="1">"c2239"</definedName>
    <definedName name="IQ_MEDIAN_TARGET_PRICE" hidden="1">"c1650"</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TDDEV_EST" hidden="1">"c1756"</definedName>
    <definedName name="IQ_NET_CHANGE" hidden="1">"c749"</definedName>
    <definedName name="IQ_NET_DEBT" hidden="1">"c1584"</definedName>
    <definedName name="IQ_NET_DEBT_EBITDA" hidden="1">"c750"</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GW_EST" hidden="1">"c1723"</definedName>
    <definedName name="IQ_NI_GW_HIGH_EST" hidden="1">"c1725"</definedName>
    <definedName name="IQ_NI_GW_LOW_EST" hidden="1">"c1726"</definedName>
    <definedName name="IQ_NI_GW_MEDIAN_EST" hidden="1">"c1724"</definedName>
    <definedName name="IQ_NI_GW_NUM_EST" hidden="1">"c1727"</definedName>
    <definedName name="IQ_NI_GW_STDDEV_EST" hidden="1">"c1728"</definedName>
    <definedName name="IQ_NI_HIGH_EST" hidden="1">"c1718"</definedName>
    <definedName name="IQ_NI_LOW_EST" hidden="1">"c1719"</definedName>
    <definedName name="IQ_NI_MARGIN" hidden="1">"c794"</definedName>
    <definedName name="IQ_NI_MEDIAN_EST" hidden="1">"c1717"</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REPORTED_EST" hidden="1">"c1730"</definedName>
    <definedName name="IQ_NI_REPORTED_HIGH_EST" hidden="1">"c1732"</definedName>
    <definedName name="IQ_NI_REPORTED_LOW_EST" hidden="1">"c1733"</definedName>
    <definedName name="IQ_NI_REPORTED_MEDIAN_EST" hidden="1">"c1731"</definedName>
    <definedName name="IQ_NI_REPORTED_NUM_EST" hidden="1">"c1734"</definedName>
    <definedName name="IQ_NI_REPORTED_STDDEV_EST" hidden="1">"c1735"</definedName>
    <definedName name="IQ_NI_SFAS" hidden="1">"c795"</definedName>
    <definedName name="IQ_NI_STDDEV_EST" hidden="1">"c1721"</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CLOSE_BALANCE_GAS" hidden="1">"c2049"</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OIL" hidden="1">"c2035"</definedName>
    <definedName name="IQ_OG_PURCHASES_GAS" hidden="1">"c2045"</definedName>
    <definedName name="IQ_OG_PURCHASES_OIL" hidden="1">"c2033"</definedName>
    <definedName name="IQ_OG_REVISIONS_GAS" hidden="1">"c2042"</definedName>
    <definedName name="IQ_OG_REVISIONS_OIL" hidden="1">"c2030"</definedName>
    <definedName name="IQ_OG_SALES_IN_PLACE_GAS" hidden="1">"c2046"</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EST" hidden="1">"c1688"</definedName>
    <definedName name="IQ_OPER_INC_FIN" hidden="1">"c851"</definedName>
    <definedName name="IQ_OPER_INC_HIGH_EST" hidden="1">"c1690"</definedName>
    <definedName name="IQ_OPER_INC_INS" hidden="1">"c852"</definedName>
    <definedName name="IQ_OPER_INC_LOW_EST" hidden="1">"c1691"</definedName>
    <definedName name="IQ_OPER_INC_MARGIN" hidden="1">"c1448"</definedName>
    <definedName name="IQ_OPER_INC_MEDIAN_EST" hidden="1">"c1689"</definedName>
    <definedName name="IQ_OPER_INC_NUM_EST" hidden="1">"c1692"</definedName>
    <definedName name="IQ_OPER_INC_REIT" hidden="1">"c853"</definedName>
    <definedName name="IQ_OPER_INC_STDDEV_EST" hidden="1">"c1693"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ISSUED" hidden="1">"c857"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UTSTANDING_BS_DATE" hidden="1">"c2128"</definedName>
    <definedName name="IQ_OUTSTANDING_FILING_DATE" hidden="1">"c2127"</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G_FWD" hidden="1">"c1863"</definedName>
    <definedName name="IQ_PENSION" hidden="1">"c1031"</definedName>
    <definedName name="IQ_PERCENT_CHANGE_EST_5YR_GROWTH_RATE_12MONTHS" hidden="1">"c1852"</definedName>
    <definedName name="IQ_PERCENT_CHANGE_EST_5YR_GROWTH_RATE_18MONTHS" hidden="1">"c1853"</definedName>
    <definedName name="IQ_PERCENT_CHANGE_EST_5YR_GROWTH_RATE_3MONTHS" hidden="1">"c1849"</definedName>
    <definedName name="IQ_PERCENT_CHANGE_EST_5YR_GROWTH_RATE_6MONTHS" hidden="1">"c1850"</definedName>
    <definedName name="IQ_PERCENT_CHANGE_EST_5YR_GROWTH_RATE_9MONTHS" hidden="1">"c1851"</definedName>
    <definedName name="IQ_PERCENT_CHANGE_EST_5YR_GROWTH_RATE_DAY" hidden="1">"c1846"</definedName>
    <definedName name="IQ_PERCENT_CHANGE_EST_5YR_GROWTH_RATE_MONTH" hidden="1">"c1848"</definedName>
    <definedName name="IQ_PERCENT_CHANGE_EST_5YR_GROWTH_RATE_WEEK" hidden="1">"c1847"</definedName>
    <definedName name="IQ_PERCENT_CHANGE_EST_CFPS_12MONTHS" hidden="1">"c1812"</definedName>
    <definedName name="IQ_PERCENT_CHANGE_EST_CFPS_18MONTHS" hidden="1">"c1813"</definedName>
    <definedName name="IQ_PERCENT_CHANGE_EST_CFPS_3MONTHS" hidden="1">"c1809"</definedName>
    <definedName name="IQ_PERCENT_CHANGE_EST_CFPS_6MONTHS" hidden="1">"c1810"</definedName>
    <definedName name="IQ_PERCENT_CHANGE_EST_CFPS_9MONTHS" hidden="1">"c1811"</definedName>
    <definedName name="IQ_PERCENT_CHANGE_EST_CFPS_DAY" hidden="1">"c1806"</definedName>
    <definedName name="IQ_PERCENT_CHANGE_EST_CFPS_MONTH" hidden="1">"c1808"</definedName>
    <definedName name="IQ_PERCENT_CHANGE_EST_CFPS_WEEK" hidden="1">"c1807"</definedName>
    <definedName name="IQ_PERCENT_CHANGE_EST_DPS_12MONTHS" hidden="1">"c1820"</definedName>
    <definedName name="IQ_PERCENT_CHANGE_EST_DPS_18MONTHS" hidden="1">"c1821"</definedName>
    <definedName name="IQ_PERCENT_CHANGE_EST_DPS_3MONTHS" hidden="1">"c1817"</definedName>
    <definedName name="IQ_PERCENT_CHANGE_EST_DPS_6MONTHS" hidden="1">"c1818"</definedName>
    <definedName name="IQ_PERCENT_CHANGE_EST_DPS_9MONTHS" hidden="1">"c1819"</definedName>
    <definedName name="IQ_PERCENT_CHANGE_EST_DPS_DAY" hidden="1">"c1814"</definedName>
    <definedName name="IQ_PERCENT_CHANGE_EST_DPS_MONTH" hidden="1">"c1816"</definedName>
    <definedName name="IQ_PERCENT_CHANGE_EST_DPS_WEEK" hidden="1">"c1815"</definedName>
    <definedName name="IQ_PERCENT_CHANGE_EST_EBITDA_12MONTHS" hidden="1">"c1804"</definedName>
    <definedName name="IQ_PERCENT_CHANGE_EST_EBITDA_18MONTHS" hidden="1">"c1805"</definedName>
    <definedName name="IQ_PERCENT_CHANGE_EST_EBITDA_3MONTHS" hidden="1">"c1801"</definedName>
    <definedName name="IQ_PERCENT_CHANGE_EST_EBITDA_6MONTHS" hidden="1">"c1802"</definedName>
    <definedName name="IQ_PERCENT_CHANGE_EST_EBITDA_9MONTHS" hidden="1">"c1803"</definedName>
    <definedName name="IQ_PERCENT_CHANGE_EST_EBITDA_DAY" hidden="1">"c1798"</definedName>
    <definedName name="IQ_PERCENT_CHANGE_EST_EBITDA_MONTH" hidden="1">"c1800"</definedName>
    <definedName name="IQ_PERCENT_CHANGE_EST_EBITDA_WEEK" hidden="1">"c1799"</definedName>
    <definedName name="IQ_PERCENT_CHANGE_EST_EPS_12MONTHS" hidden="1">"c1788"</definedName>
    <definedName name="IQ_PERCENT_CHANGE_EST_EPS_18MONTHS" hidden="1">"c1789"</definedName>
    <definedName name="IQ_PERCENT_CHANGE_EST_EPS_3MONTHS" hidden="1">"c1785"</definedName>
    <definedName name="IQ_PERCENT_CHANGE_EST_EPS_6MONTHS" hidden="1">"c1786"</definedName>
    <definedName name="IQ_PERCENT_CHANGE_EST_EPS_9MONTHS" hidden="1">"c1787"</definedName>
    <definedName name="IQ_PERCENT_CHANGE_EST_EPS_DAY" hidden="1">"c1782"</definedName>
    <definedName name="IQ_PERCENT_CHANGE_EST_EPS_MONTH" hidden="1">"c1784"</definedName>
    <definedName name="IQ_PERCENT_CHANGE_EST_EPS_WEEK" hidden="1">"c1783"</definedName>
    <definedName name="IQ_PERCENT_CHANGE_EST_FFO_12MONTHS" hidden="1">"c1828"</definedName>
    <definedName name="IQ_PERCENT_CHANGE_EST_FFO_18MONTHS" hidden="1">"c1829"</definedName>
    <definedName name="IQ_PERCENT_CHANGE_EST_FFO_3MONTHS" hidden="1">"c1825"</definedName>
    <definedName name="IQ_PERCENT_CHANGE_EST_FFO_6MONTHS" hidden="1">"c1826"</definedName>
    <definedName name="IQ_PERCENT_CHANGE_EST_FFO_9MONTHS" hidden="1">"c1827"</definedName>
    <definedName name="IQ_PERCENT_CHANGE_EST_FFO_DAY" hidden="1">"c1822"</definedName>
    <definedName name="IQ_PERCENT_CHANGE_EST_FFO_MONTH" hidden="1">"c1824"</definedName>
    <definedName name="IQ_PERCENT_CHANGE_EST_FFO_WEEK" hidden="1">"c1823"</definedName>
    <definedName name="IQ_PERCENT_CHANGE_EST_PRICE_TARGET_12MONTHS" hidden="1">"c1844"</definedName>
    <definedName name="IQ_PERCENT_CHANGE_EST_PRICE_TARGET_18MONTHS" hidden="1">"c1845"</definedName>
    <definedName name="IQ_PERCENT_CHANGE_EST_PRICE_TARGET_3MONTHS" hidden="1">"c1841"</definedName>
    <definedName name="IQ_PERCENT_CHANGE_EST_PRICE_TARGET_6MONTHS" hidden="1">"c1842"</definedName>
    <definedName name="IQ_PERCENT_CHANGE_EST_PRICE_TARGET_9MONTHS" hidden="1">"c1843"</definedName>
    <definedName name="IQ_PERCENT_CHANGE_EST_PRICE_TARGET_DAY" hidden="1">"c1838"</definedName>
    <definedName name="IQ_PERCENT_CHANGE_EST_PRICE_TARGET_MONTH" hidden="1">"c1840"</definedName>
    <definedName name="IQ_PERCENT_CHANGE_EST_PRICE_TARGET_WEEK" hidden="1">"c1839"</definedName>
    <definedName name="IQ_PERCENT_CHANGE_EST_RECO_12MONTHS" hidden="1">"c1836"</definedName>
    <definedName name="IQ_PERCENT_CHANGE_EST_RECO_18MONTHS" hidden="1">"c1837"</definedName>
    <definedName name="IQ_PERCENT_CHANGE_EST_RECO_3MONTHS" hidden="1">"c1833"</definedName>
    <definedName name="IQ_PERCENT_CHANGE_EST_RECO_6MONTHS" hidden="1">"c1834"</definedName>
    <definedName name="IQ_PERCENT_CHANGE_EST_RECO_9MONTHS" hidden="1">"c1835"</definedName>
    <definedName name="IQ_PERCENT_CHANGE_EST_RECO_DAY" hidden="1">"c1830"</definedName>
    <definedName name="IQ_PERCENT_CHANGE_EST_RECO_MONTH" hidden="1">"c1832"</definedName>
    <definedName name="IQ_PERCENT_CHANGE_EST_RECO_WEEK" hidden="1">"c1831"</definedName>
    <definedName name="IQ_PERCENT_CHANGE_EST_REV_12MONTHS" hidden="1">"c1796"</definedName>
    <definedName name="IQ_PERCENT_CHANGE_EST_REV_18MONTHS" hidden="1">"c1797"</definedName>
    <definedName name="IQ_PERCENT_CHANGE_EST_REV_3MONTHS" hidden="1">"c1793"</definedName>
    <definedName name="IQ_PERCENT_CHANGE_EST_REV_6MONTHS" hidden="1">"c1794"</definedName>
    <definedName name="IQ_PERCENT_CHANGE_EST_REV_9MONTHS" hidden="1">"c1795"</definedName>
    <definedName name="IQ_PERCENT_CHANGE_EST_REV_DAY" hidden="1">"c1790"</definedName>
    <definedName name="IQ_PERCENT_CHANGE_EST_REV_MONTH" hidden="1">"c1792"</definedName>
    <definedName name="IQ_PERCENT_CHANGE_EST_REV_WEEK" hidden="1">"c1791"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HIGH_EST" hidden="1">"c1704"</definedName>
    <definedName name="IQ_PRETAX_GW_INC_LOW_EST" hidden="1">"c1705"</definedName>
    <definedName name="IQ_PRETAX_GW_INC_MEDIAN_EST" hidden="1">"c1703"</definedName>
    <definedName name="IQ_PRETAX_GW_INC_NUM_EST" hidden="1">"c1706"</definedName>
    <definedName name="IQ_PRETAX_GW_INC_STDDEV_EST" hidden="1">"c1707"</definedName>
    <definedName name="IQ_PRETAX_INC_EST" hidden="1">"c1695"</definedName>
    <definedName name="IQ_PRETAX_INC_HIGH_EST" hidden="1">"c1697"</definedName>
    <definedName name="IQ_PRETAX_INC_LOW_EST" hidden="1">"c1698"</definedName>
    <definedName name="IQ_PRETAX_INC_MEDIAN_EST" hidden="1">"c1696"</definedName>
    <definedName name="IQ_PRETAX_INC_NUM_EST" hidden="1">"c1699"</definedName>
    <definedName name="IQ_PRETAX_INC_STDDEV_EST" hidden="1">"c1700"</definedName>
    <definedName name="IQ_PRETAX_REPORT_INC_EST" hidden="1">"c1709"</definedName>
    <definedName name="IQ_PRETAX_REPORT_INC_HIGH_EST" hidden="1">"c1711"</definedName>
    <definedName name="IQ_PRETAX_REPORT_INC_LOW_EST" hidden="1">"c1712"</definedName>
    <definedName name="IQ_PRETAX_REPORT_INC_MEDIAN_EST" hidden="1">"c1710"</definedName>
    <definedName name="IQ_PRETAX_REPORT_INC_NUM_EST" hidden="1">"c1713"</definedName>
    <definedName name="IQ_PRETAX_REPORT_INC_STDDEV_EST" hidden="1">"c1714"</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VG_STORE_SIZE_GROSS" hidden="1">"c2066"</definedName>
    <definedName name="IQ_RETAIL_AVG_STORE_SIZE_NET" hidden="1">"c2067"</definedName>
    <definedName name="IQ_RETAIL_CLOSED_STORES" hidden="1">"c2063"</definedName>
    <definedName name="IQ_RETAIL_OPENED_STORES" hidden="1">"c2062"</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Q_FOOTAGE" hidden="1">"c2064"</definedName>
    <definedName name="IQ_RETAIL_STORE_SELLING_AREA" hidden="1">"c2065"</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UTI" hidden="1">"c1125"</definedName>
    <definedName name="IQ_REVENUE" hidden="1">"c1422"</definedName>
    <definedName name="IQ_REVENUE_EST" hidden="1">"c1126"</definedName>
    <definedName name="IQ_REVENUE_HIGH_EST" hidden="1">"c1127"</definedName>
    <definedName name="IQ_REVENUE_LOW_EST" hidden="1">"c1128"</definedName>
    <definedName name="IQ_REVENUE_MEDIAN_EST" hidden="1">"c1662"</definedName>
    <definedName name="IQ_REVENUE_NUM_EST" hidden="1">"c1129"</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VING_DEP" hidden="1">"c1150"</definedName>
    <definedName name="IQ_SECUR_RECEIV" hidden="1">"c1151"</definedName>
    <definedName name="IQ_SECURITY_BORROW" hidden="1">"c1152"</definedName>
    <definedName name="IQ_SECURITY_OWN" hidden="1">"c1153"</definedName>
    <definedName name="IQ_SECURITY_RESELL" hidden="1">"c1154"</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CF" hidden="1">"c1203"</definedName>
    <definedName name="IQ_STRIKE_PRICE_ISSUED" hidden="1">"c1645"</definedName>
    <definedName name="IQ_STRIKE_PRICE_OS" hidden="1">"c1646"</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STDDEV" hidden="1">"c1654"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EV_UFCF" hidden="1">"c2208"</definedName>
    <definedName name="IQ_TIER_ONE_RATIO" hidden="1">"c1229"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QUITY" hidden="1">"c1250"</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EXP" hidden="1">"c1291"</definedName>
    <definedName name="IQ_TOTAL_PENSION_OBLIGATION" hidden="1">"c1292"</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S" hidden="1">"c2119"</definedName>
    <definedName name="IQ_TOTAL_UNUSUAL" hidden="1">"c1508"</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USUAL_EXP" hidden="1">"c1456"</definedName>
    <definedName name="IQ_US_GAAP" hidden="1">"c1331"</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EIGHTED_AVG_PRICE" hidden="1">"c1334"</definedName>
    <definedName name="IQ_WIP_INV" hidden="1">"c1335"</definedName>
    <definedName name="IQ_WORKMEN_WRITTEN" hidden="1">"c1336"</definedName>
    <definedName name="IQ_XDIV_DATE" hidden="1">"c2104"</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Z_SCORE" hidden="1">"c1339"</definedName>
    <definedName name="j" localSheetId="0" hidden="1">{"whole",#N/A,FALSE,"CS FIN Sum For Rox";"whole",#N/A,FALSE,"Gen_Dist_Act_Bud";"whole",#N/A,FALSE,"Gen_Dist_T3months";"whole",#N/A,FALSE,"GD_PerP";"whole",#N/A,FALSE,"CS_DIST_ActvsBud";"whole",#N/A,FALSE,"CS_DIST_SUM_trail3mo"}</definedName>
    <definedName name="j" localSheetId="3" hidden="1">{"whole",#N/A,FALSE,"CS FIN Sum For Rox";"whole",#N/A,FALSE,"Gen_Dist_Act_Bud";"whole",#N/A,FALSE,"Gen_Dist_T3months";"whole",#N/A,FALSE,"GD_PerP";"whole",#N/A,FALSE,"CS_DIST_ActvsBud";"whole",#N/A,FALSE,"CS_DIST_SUM_trail3mo"}</definedName>
    <definedName name="j" hidden="1">{"whole",#N/A,FALSE,"CS FIN Sum For Rox";"whole",#N/A,FALSE,"Gen_Dist_Act_Bud";"whole",#N/A,FALSE,"Gen_Dist_T3months";"whole",#N/A,FALSE,"GD_PerP";"whole",#N/A,FALSE,"CS_DIST_ActvsBud";"whole",#N/A,FALSE,"CS_DIST_SUM_trail3mo"}</definedName>
    <definedName name="JDJKLW" localSheetId="0" hidden="1">{"whole",#N/A,FALSE,"CS HC";"whole",#N/A,FALSE,"CS_ACTvsBud";"whole",#N/A,FALSE,"CSTrail3mo";"whole",#N/A,FALSE,"CS Cost Per Head ";"whole",#N/A,FALSE,"CS CPH YTD"}</definedName>
    <definedName name="JDJKLW" localSheetId="3" hidden="1">{"whole",#N/A,FALSE,"CS HC";"whole",#N/A,FALSE,"CS_ACTvsBud";"whole",#N/A,FALSE,"CSTrail3mo";"whole",#N/A,FALSE,"CS Cost Per Head ";"whole",#N/A,FALSE,"CS CPH YTD"}</definedName>
    <definedName name="JDJKLW" hidden="1">{"whole",#N/A,FALSE,"CS HC";"whole",#N/A,FALSE,"CS_ACTvsBud";"whole",#N/A,FALSE,"CSTrail3mo";"whole",#N/A,FALSE,"CS Cost Per Head ";"whole",#N/A,FALSE,"CS CPH YTD"}</definedName>
    <definedName name="k" localSheetId="0" hidden="1">{"Chart 1",#N/A,FALSE,"Run Rate";"Chart 2",#N/A,FALSE,"Run Rate (2)"}</definedName>
    <definedName name="k" localSheetId="3" hidden="1">{"Chart 1",#N/A,FALSE,"Run Rate";"Chart 2",#N/A,FALSE,"Run Rate (2)"}</definedName>
    <definedName name="k" hidden="1">{"Chart 1",#N/A,FALSE,"Run Rate";"Chart 2",#N/A,FALSE,"Run Rate (2)"}</definedName>
    <definedName name="l"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l"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l"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n"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n"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n"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Newsheet" localSheetId="0" hidden="1">{"whole",#N/A,FALSE,"6701";"whole",#N/A,FALSE,"6702";"whole",#N/A,FALSE,"7710";"whole",#N/A,FALSE,"7714";"whole",#N/A,FALSE,"7729";"whole",#N/A,FALSE,"7730";"whole",#N/A,FALSE,"7731";"whole",#N/A,FALSE,"7736";"whole",#N/A,FALSE,"7737";"whole",#N/A,FALSE,"7738";"whole",#N/A,FALSE,"7743";"Whole",#N/A,FALSE,"7740";"whole",#N/A,FALSE,"7744";"whole",#N/A,FALSE,"7745"}</definedName>
    <definedName name="Newsheet" localSheetId="3" hidden="1">{"whole",#N/A,FALSE,"6701";"whole",#N/A,FALSE,"6702";"whole",#N/A,FALSE,"7710";"whole",#N/A,FALSE,"7714";"whole",#N/A,FALSE,"7729";"whole",#N/A,FALSE,"7730";"whole",#N/A,FALSE,"7731";"whole",#N/A,FALSE,"7736";"whole",#N/A,FALSE,"7737";"whole",#N/A,FALSE,"7738";"whole",#N/A,FALSE,"7743";"Whole",#N/A,FALSE,"7740";"whole",#N/A,FALSE,"7744";"whole",#N/A,FALSE,"7745"}</definedName>
    <definedName name="Newsheet" hidden="1">{"whole",#N/A,FALSE,"6701";"whole",#N/A,FALSE,"6702";"whole",#N/A,FALSE,"7710";"whole",#N/A,FALSE,"7714";"whole",#N/A,FALSE,"7729";"whole",#N/A,FALSE,"7730";"whole",#N/A,FALSE,"7731";"whole",#N/A,FALSE,"7736";"whole",#N/A,FALSE,"7737";"whole",#N/A,FALSE,"7738";"whole",#N/A,FALSE,"7743";"Whole",#N/A,FALSE,"7740";"whole",#N/A,FALSE,"7744";"whole",#N/A,FALSE,"7745"}</definedName>
    <definedName name="o" localSheetId="0" hidden="1">{"Chart 1",#N/A,FALSE,"Run Rate";"Chart 2",#N/A,FALSE,"Run Rate (2)"}</definedName>
    <definedName name="o" localSheetId="3" hidden="1">{"Chart 1",#N/A,FALSE,"Run Rate";"Chart 2",#N/A,FALSE,"Run Rate (2)"}</definedName>
    <definedName name="o" hidden="1">{"Chart 1",#N/A,FALSE,"Run Rate";"Chart 2",#N/A,FALSE,"Run Rate (2)"}</definedName>
    <definedName name="opex" localSheetId="0" hidden="1">{"whole",#N/A,FALSE,"Gen_Dist_Act_Bud";"whole",#N/A,FALSE,"Gen_Dist_T3months";"whole",#N/A,FALSE,"GD_PerP";"whole",#N/A,FALSE,"HR_Dist";"whole",#N/A,FALSE,"CS_DIST_ActvsBud";"whole",#N/A,FALSE,"CS_DIST_SUM_trail3mo";"whole",#N/A,FALSE,"ITG_act_Bud";"whole",#N/A,FALSE,"ITG_T3Mo"}</definedName>
    <definedName name="opex" localSheetId="3" hidden="1">{"whole",#N/A,FALSE,"Gen_Dist_Act_Bud";"whole",#N/A,FALSE,"Gen_Dist_T3months";"whole",#N/A,FALSE,"GD_PerP";"whole",#N/A,FALSE,"HR_Dist";"whole",#N/A,FALSE,"CS_DIST_ActvsBud";"whole",#N/A,FALSE,"CS_DIST_SUM_trail3mo";"whole",#N/A,FALSE,"ITG_act_Bud";"whole",#N/A,FALSE,"ITG_T3Mo"}</definedName>
    <definedName name="opex" hidden="1">{"whole",#N/A,FALSE,"Gen_Dist_Act_Bud";"whole",#N/A,FALSE,"Gen_Dist_T3months";"whole",#N/A,FALSE,"GD_PerP";"whole",#N/A,FALSE,"HR_Dist";"whole",#N/A,FALSE,"CS_DIST_ActvsBud";"whole",#N/A,FALSE,"CS_DIST_SUM_trail3mo";"whole",#N/A,FALSE,"ITG_act_Bud";"whole",#N/A,FALSE,"ITG_T3Mo"}</definedName>
    <definedName name="Pct_JV">Ingredients!$D$79</definedName>
    <definedName name="PivotTable2.doc" hidden="1">#REF!</definedName>
    <definedName name="_xlnm.Print_Area" localSheetId="0">Assumptions!$A$3:$D$74</definedName>
    <definedName name="_xlnm.Print_Area" localSheetId="3">'Unit Economies'!$A$1:$L$33</definedName>
    <definedName name="_xlnm.Print_Titles" localSheetId="0">Assumptions!#REF!</definedName>
    <definedName name="q" localSheetId="0" hidden="1">{"whole",#N/A,FALSE,"Gen_Dist_Act_Bud";"whole",#N/A,FALSE,"Gen_Dist_T3months";"whole",#N/A,FALSE,"GD_PerP";"whole",#N/A,FALSE,"HR_Dist";"whole",#N/A,FALSE,"CS_DIST_ActvsBud";"whole",#N/A,FALSE,"CS_DIST_SUM_trail3mo";"whole",#N/A,FALSE,"ITG_act_Bud";"whole",#N/A,FALSE,"ITG_T3Mo"}</definedName>
    <definedName name="q" localSheetId="3" hidden="1">{"whole",#N/A,FALSE,"Gen_Dist_Act_Bud";"whole",#N/A,FALSE,"Gen_Dist_T3months";"whole",#N/A,FALSE,"GD_PerP";"whole",#N/A,FALSE,"HR_Dist";"whole",#N/A,FALSE,"CS_DIST_ActvsBud";"whole",#N/A,FALSE,"CS_DIST_SUM_trail3mo";"whole",#N/A,FALSE,"ITG_act_Bud";"whole",#N/A,FALSE,"ITG_T3Mo"}</definedName>
    <definedName name="q" hidden="1">{"whole",#N/A,FALSE,"Gen_Dist_Act_Bud";"whole",#N/A,FALSE,"Gen_Dist_T3months";"whole",#N/A,FALSE,"GD_PerP";"whole",#N/A,FALSE,"HR_Dist";"whole",#N/A,FALSE,"CS_DIST_ActvsBud";"whole",#N/A,FALSE,"CS_DIST_SUM_trail3mo";"whole",#N/A,FALSE,"ITG_act_Bud";"whole",#N/A,FALSE,"ITG_T3Mo"}</definedName>
    <definedName name="Ratio_Biomass">Ingredients!#REF!</definedName>
    <definedName name="Ratio_Biomass_Initial">Ingredients!#REF!</definedName>
    <definedName name="Ratio_Biomass_Test">Ingredients!#REF!</definedName>
    <definedName name="Reserves_Restated" localSheetId="0"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Reserves_Restated" localSheetId="3"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Reserves_Restated"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rrrrr" localSheetId="0" hidden="1">{"whole",#N/A,FALSE,"Gen_Dist_Act_Bud";"whole",#N/A,FALSE,"Gen_Dist_T3months";"whole",#N/A,FALSE,"GD_PerP";"whole",#N/A,FALSE,"HR Dist'n"}</definedName>
    <definedName name="rrrrr" localSheetId="3" hidden="1">{"whole",#N/A,FALSE,"Gen_Dist_Act_Bud";"whole",#N/A,FALSE,"Gen_Dist_T3months";"whole",#N/A,FALSE,"GD_PerP";"whole",#N/A,FALSE,"HR Dist'n"}</definedName>
    <definedName name="rrrrr" hidden="1">{"whole",#N/A,FALSE,"Gen_Dist_Act_Bud";"whole",#N/A,FALSE,"Gen_Dist_T3months";"whole",#N/A,FALSE,"GD_PerP";"whole",#N/A,FALSE,"HR Dist'n"}</definedName>
    <definedName name="SAPBEXdnldView" hidden="1">"C4VKB44NBFWRHFS9WUI73XFLZ"</definedName>
    <definedName name="SAPBEXrevision" hidden="1">17</definedName>
    <definedName name="SAPBEXsysID" hidden="1">"BWP"</definedName>
    <definedName name="SAPBEXwbID" hidden="1">"4CDWWCCD2YHQWQON0QPRQL0RR"</definedName>
    <definedName name="SDFG" localSheetId="0" hidden="1">{#N/A,#N/A,FALSE,"Summary";#N/A,#N/A,FALSE,"Details";#N/A,#N/A,FALSE,"Month-Hd";#N/A,#N/A,FALSE,"YTD-Hd";#N/A,#N/A,FALSE,"Capital"}</definedName>
    <definedName name="SDFG" localSheetId="3" hidden="1">{#N/A,#N/A,FALSE,"Summary";#N/A,#N/A,FALSE,"Details";#N/A,#N/A,FALSE,"Month-Hd";#N/A,#N/A,FALSE,"YTD-Hd";#N/A,#N/A,FALSE,"Capital"}</definedName>
    <definedName name="SDFG" hidden="1">{#N/A,#N/A,FALSE,"Summary";#N/A,#N/A,FALSE,"Details";#N/A,#N/A,FALSE,"Month-Hd";#N/A,#N/A,FALSE,"YTD-Hd";#N/A,#N/A,FALSE,"Capital"}</definedName>
    <definedName name="Selected_Option">#REF!</definedName>
    <definedName name="TaxLossOption">#REF!</definedName>
    <definedName name="test" localSheetId="0" hidden="1">{#N/A,#N/A,FALSE,"Summary";#N/A,#N/A,FALSE,"Expense";#N/A,#N/A,FALSE,"Capital"}</definedName>
    <definedName name="test" localSheetId="3" hidden="1">{#N/A,#N/A,FALSE,"Summary";#N/A,#N/A,FALSE,"Expense";#N/A,#N/A,FALSE,"Capital"}</definedName>
    <definedName name="test" hidden="1">{#N/A,#N/A,FALSE,"Summary";#N/A,#N/A,FALSE,"Expense";#N/A,#N/A,FALSE,"Capital"}</definedName>
    <definedName name="test1" localSheetId="0" hidden="1">{"whole",#N/A,FALSE,"Gen_Dist_Act_Bud";"whole",#N/A,FALSE,"Gen_Dist_T3months";"whole",#N/A,FALSE,"GD_PerP";"whole",#N/A,FALSE,"HR_Dist";"whole",#N/A,FALSE,"CS_DIST_ActvsBud";"whole",#N/A,FALSE,"CS_DIST_SUM_trail3mo";"whole",#N/A,FALSE,"ITG_act_Bud";"whole",#N/A,FALSE,"ITG_T3Mo"}</definedName>
    <definedName name="test1" localSheetId="3" hidden="1">{"whole",#N/A,FALSE,"Gen_Dist_Act_Bud";"whole",#N/A,FALSE,"Gen_Dist_T3months";"whole",#N/A,FALSE,"GD_PerP";"whole",#N/A,FALSE,"HR_Dist";"whole",#N/A,FALSE,"CS_DIST_ActvsBud";"whole",#N/A,FALSE,"CS_DIST_SUM_trail3mo";"whole",#N/A,FALSE,"ITG_act_Bud";"whole",#N/A,FALSE,"ITG_T3Mo"}</definedName>
    <definedName name="test1" hidden="1">{"whole",#N/A,FALSE,"Gen_Dist_Act_Bud";"whole",#N/A,FALSE,"Gen_Dist_T3months";"whole",#N/A,FALSE,"GD_PerP";"whole",#N/A,FALSE,"HR_Dist";"whole",#N/A,FALSE,"CS_DIST_ActvsBud";"whole",#N/A,FALSE,"CS_DIST_SUM_trail3mo";"whole",#N/A,FALSE,"ITG_act_Bud";"whole",#N/A,FALSE,"ITG_T3Mo"}</definedName>
    <definedName name="TextRefCopyRangeCount" hidden="1">1</definedName>
    <definedName name="TUYIU" localSheetId="0" hidden="1">{"whole",#N/A,FALSE,"Gen_Dist_Act_Bud";"whole",#N/A,FALSE,"Gen_Dist_T3months";"whole",#N/A,FALSE,"GD_PerP";"whole",#N/A,FALSE,"HR_Dist";"whole",#N/A,FALSE,"CS_DIST_ActvsBud";"whole",#N/A,FALSE,"CS_DIST_SUM_trail3mo";"whole",#N/A,FALSE,"ITG_act_Bud";"whole",#N/A,FALSE,"ITG_T3Mo"}</definedName>
    <definedName name="TUYIU" localSheetId="3" hidden="1">{"whole",#N/A,FALSE,"Gen_Dist_Act_Bud";"whole",#N/A,FALSE,"Gen_Dist_T3months";"whole",#N/A,FALSE,"GD_PerP";"whole",#N/A,FALSE,"HR_Dist";"whole",#N/A,FALSE,"CS_DIST_ActvsBud";"whole",#N/A,FALSE,"CS_DIST_SUM_trail3mo";"whole",#N/A,FALSE,"ITG_act_Bud";"whole",#N/A,FALSE,"ITG_T3Mo"}</definedName>
    <definedName name="TUYIU" hidden="1">{"whole",#N/A,FALSE,"Gen_Dist_Act_Bud";"whole",#N/A,FALSE,"Gen_Dist_T3months";"whole",#N/A,FALSE,"GD_PerP";"whole",#N/A,FALSE,"HR_Dist";"whole",#N/A,FALSE,"CS_DIST_ActvsBud";"whole",#N/A,FALSE,"CS_DIST_SUM_trail3mo";"whole",#N/A,FALSE,"ITG_act_Bud";"whole",#N/A,FALSE,"ITG_T3Mo"}</definedName>
    <definedName name="VV" localSheetId="0" hidden="1">{"whole",#N/A,FALSE,"6701";"whole",#N/A,FALSE,"6702";"whole",#N/A,FALSE,"7710";"whole",#N/A,FALSE,"7714";"whole",#N/A,FALSE,"7729";"whole",#N/A,FALSE,"7730";"whole",#N/A,FALSE,"7731";"whole",#N/A,FALSE,"7736";"whole",#N/A,FALSE,"7737";"whole",#N/A,FALSE,"7738";"whole",#N/A,FALSE,"7743";"Whole",#N/A,FALSE,"7740";"whole",#N/A,FALSE,"7744";"whole",#N/A,FALSE,"7745"}</definedName>
    <definedName name="VV" localSheetId="3" hidden="1">{"whole",#N/A,FALSE,"6701";"whole",#N/A,FALSE,"6702";"whole",#N/A,FALSE,"7710";"whole",#N/A,FALSE,"7714";"whole",#N/A,FALSE,"7729";"whole",#N/A,FALSE,"7730";"whole",#N/A,FALSE,"7731";"whole",#N/A,FALSE,"7736";"whole",#N/A,FALSE,"7737";"whole",#N/A,FALSE,"7738";"whole",#N/A,FALSE,"7743";"Whole",#N/A,FALSE,"7740";"whole",#N/A,FALSE,"7744";"whole",#N/A,FALSE,"7745"}</definedName>
    <definedName name="VV" hidden="1">{"whole",#N/A,FALSE,"6701";"whole",#N/A,FALSE,"6702";"whole",#N/A,FALSE,"7710";"whole",#N/A,FALSE,"7714";"whole",#N/A,FALSE,"7729";"whole",#N/A,FALSE,"7730";"whole",#N/A,FALSE,"7731";"whole",#N/A,FALSE,"7736";"whole",#N/A,FALSE,"7737";"whole",#N/A,FALSE,"7738";"whole",#N/A,FALSE,"7743";"Whole",#N/A,FALSE,"7740";"whole",#N/A,FALSE,"7744";"whole",#N/A,FALSE,"7745"}</definedName>
    <definedName name="w3m"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3m"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3m"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3run" localSheetId="0" hidden="1">{"Chart 1",#N/A,FALSE,"Run Rate";"Chart 2",#N/A,FALSE,"Run Rate (2)"}</definedName>
    <definedName name="w3run" localSheetId="3" hidden="1">{"Chart 1",#N/A,FALSE,"Run Rate";"Chart 2",#N/A,FALSE,"Run Rate (2)"}</definedName>
    <definedName name="w3run" hidden="1">{"Chart 1",#N/A,FALSE,"Run Rate";"Chart 2",#N/A,FALSE,"Run Rate (2)"}</definedName>
    <definedName name="w3w2" localSheetId="0" hidden="1">{"whole",#N/A,FALSE,"CS FIN Sum For Rox";"whole",#N/A,FALSE,"Gen_Dist_Act_Bud";"whole",#N/A,FALSE,"Gen_Dist_T3months";"whole",#N/A,FALSE,"GD_PerP";"whole",#N/A,FALSE,"CS_DIST_ActvsBud";"whole",#N/A,FALSE,"CS_DIST_SUM_trail3mo"}</definedName>
    <definedName name="w3w2" localSheetId="3" hidden="1">{"whole",#N/A,FALSE,"CS FIN Sum For Rox";"whole",#N/A,FALSE,"Gen_Dist_Act_Bud";"whole",#N/A,FALSE,"Gen_Dist_T3months";"whole",#N/A,FALSE,"GD_PerP";"whole",#N/A,FALSE,"CS_DIST_ActvsBud";"whole",#N/A,FALSE,"CS_DIST_SUM_trail3mo"}</definedName>
    <definedName name="w3w2" hidden="1">{"whole",#N/A,FALSE,"CS FIN Sum For Rox";"whole",#N/A,FALSE,"Gen_Dist_Act_Bud";"whole",#N/A,FALSE,"Gen_Dist_T3months";"whole",#N/A,FALSE,"GD_PerP";"whole",#N/A,FALSE,"CS_DIST_ActvsBud";"whole",#N/A,FALSE,"CS_DIST_SUM_trail3mo"}</definedName>
    <definedName name="wrn" localSheetId="0" hidden="1">{#N/A,#N/A,FALSE,"Summary";#N/A,#N/A,FALSE,"Details";#N/A,#N/A,FALSE,"Month-Hd";#N/A,#N/A,FALSE,"YTD-Hd";#N/A,#N/A,FALSE,"Capital"}</definedName>
    <definedName name="wrn" localSheetId="3" hidden="1">{#N/A,#N/A,FALSE,"Summary";#N/A,#N/A,FALSE,"Details";#N/A,#N/A,FALSE,"Month-Hd";#N/A,#N/A,FALSE,"YTD-Hd";#N/A,#N/A,FALSE,"Capital"}</definedName>
    <definedName name="wrn" hidden="1">{#N/A,#N/A,FALSE,"Summary";#N/A,#N/A,FALSE,"Details";#N/A,#N/A,FALSE,"Month-Hd";#N/A,#N/A,FALSE,"YTD-Hd";#N/A,#N/A,FALSE,"Capital"}</definedName>
    <definedName name="wrn.6713_Financials." localSheetId="0" hidden="1">{#N/A,#N/A,FALSE,"Summary";#N/A,#N/A,FALSE,"Details";#N/A,#N/A,FALSE,"Month-Hd";#N/A,#N/A,FALSE,"YTD-Hd";#N/A,#N/A,FALSE,"Capital"}</definedName>
    <definedName name="wrn.6713_Financials." localSheetId="3" hidden="1">{#N/A,#N/A,FALSE,"Summary";#N/A,#N/A,FALSE,"Details";#N/A,#N/A,FALSE,"Month-Hd";#N/A,#N/A,FALSE,"YTD-Hd";#N/A,#N/A,FALSE,"Capital"}</definedName>
    <definedName name="wrn.6713_Financials." hidden="1">{#N/A,#N/A,FALSE,"Summary";#N/A,#N/A,FALSE,"Details";#N/A,#N/A,FALSE,"Month-Hd";#N/A,#N/A,FALSE,"YTD-Hd";#N/A,#N/A,FALSE,"Capital"}</definedName>
    <definedName name="wrn.ADM." localSheetId="0" hidden="1">{"Overview ADM",#N/A,TRUE,"Print KA";"ADM Actual",#N/A,TRUE,"Print KA";"ADM Budget",#N/A,TRUE,"Print KA";"ADM Last Yr",#N/A,TRUE,"Print KA";"ADM Act v. Bud",#N/A,TRUE,"Print KA";"ADM Act v. LY",#N/A,TRUE,"Print KA"}</definedName>
    <definedName name="wrn.ADM." localSheetId="3" hidden="1">{"Overview ADM",#N/A,TRUE,"Print KA";"ADM Actual",#N/A,TRUE,"Print KA";"ADM Budget",#N/A,TRUE,"Print KA";"ADM Last Yr",#N/A,TRUE,"Print KA";"ADM Act v. Bud",#N/A,TRUE,"Print KA";"ADM Act v. LY",#N/A,TRUE,"Print KA"}</definedName>
    <definedName name="wrn.ADM." hidden="1">{"Overview ADM",#N/A,TRUE,"Print KA";"ADM Actual",#N/A,TRUE,"Print KA";"ADM Budget",#N/A,TRUE,"Print KA";"ADM Last Yr",#N/A,TRUE,"Print KA";"ADM Act v. Bud",#N/A,TRUE,"Print KA";"ADM Act v. LY",#N/A,TRUE,"Print KA"}</definedName>
    <definedName name="wrn.Aging._.and._.Trend._.Analysis." localSheetId="0" hidden="1">{#N/A,#N/A,FALSE,"Aging Summary";#N/A,#N/A,FALSE,"Ratio Analysis";#N/A,#N/A,FALSE,"Test 120 Day Accts";#N/A,#N/A,FALSE,"Tickmarks"}</definedName>
    <definedName name="wrn.Aging._.and._.Trend._.Analysis." localSheetId="3"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BWG." localSheetId="0" hidden="1">{"Overview - BWG",#N/A,TRUE,"Print KA";"BWG Actual",#N/A,TRUE,"Print KA";"BWG Budget",#N/A,TRUE,"Print KA";"BWG Last Yr",#N/A,TRUE,"Print KA";"BWG Act v. Bud",#N/A,TRUE,"Print KA";"BWG Act v. LY",#N/A,TRUE,"Print KA"}</definedName>
    <definedName name="wrn.BWG." localSheetId="3" hidden="1">{"Overview - BWG",#N/A,TRUE,"Print KA";"BWG Actual",#N/A,TRUE,"Print KA";"BWG Budget",#N/A,TRUE,"Print KA";"BWG Last Yr",#N/A,TRUE,"Print KA";"BWG Act v. Bud",#N/A,TRUE,"Print KA";"BWG Act v. LY",#N/A,TRUE,"Print KA"}</definedName>
    <definedName name="wrn.BWG." hidden="1">{"Overview - BWG",#N/A,TRUE,"Print KA";"BWG Actual",#N/A,TRUE,"Print KA";"BWG Budget",#N/A,TRUE,"Print KA";"BWG Last Yr",#N/A,TRUE,"Print KA";"BWG Act v. Bud",#N/A,TRUE,"Print KA";"BWG Act v. LY",#N/A,TRUE,"Print KA"}</definedName>
    <definedName name="wrn.Detail._.CFI." localSheetId="0" hidden="1">{"Summary - CFI",#N/A,TRUE,"Actual";"Overview Wk - CFI",#N/A,TRUE,"Actual";"Overview MTD - CFI",#N/A,TRUE,"Actual";"Overview YTD - CFI",#N/A,TRUE,"Actual";"Musgrave Actual",#N/A,TRUE,"Actual";"Musgrave Budget",#N/A,TRUE,"Actual";"Musgrave Last Yr",#N/A,TRUE,"Actual";"Musgrave Act v. Bud",#N/A,TRUE,"Actual";"Musgrave Act v. LY",#N/A,TRUE,"Actual";"Tesco Actual",#N/A,TRUE,"Actual";"Tesco Budget",#N/A,TRUE,"Actual";"Tesco Last Yr",#N/A,TRUE,"Actual";"Tesco Act v. Bud",#N/A,TRUE,"Actual";"Tesco Act v. LY",#N/A,TRUE,"Actual";"Dunnes Actual",#N/A,TRUE,"Actual";"Dunnes Budget",#N/A,TRUE,"Actual";"Dunnes Last Yr",#N/A,TRUE,"Actual";"Dunnes Act v. Bud",#N/A,TRUE,"Actual";"Dunnes Act v. LY",#N/A,TRUE,"Actual";"BWG Actual",#N/A,TRUE,"Actual";"BWG Budget",#N/A,TRUE,"Actual";"BWG Last Yr",#N/A,TRUE,"Actual";"BWG Act v. Bud",#N/A,TRUE,"Actual";"BWG Act v. LY",#N/A,TRUE,"Actual";"Superquinn Actual",#N/A,TRUE,"Actual";"Superquinn Budget",#N/A,TRUE,"Actual";"Superquinn Last Yr",#N/A,TRUE,"Actual";"Superquinn Act v. Bud",#N/A,TRUE,"Actual";"Superquinn Act v. LY",#N/A,TRUE,"Actual";"ADM Actual",#N/A,TRUE,"Actual";"ADM Budget",#N/A,TRUE,"Actual";"ADM Last Yr",#N/A,TRUE,"Actual";"ADM Act v. Bud",#N/A,TRUE,"Actual";"ADM Act v. LY",#N/A,TRUE,"Actual";"Oth Con Actual",#N/A,TRUE,"Actual";"Oth Con Budget",#N/A,TRUE,"Actual";"Oth Con Last Year",#N/A,TRUE,"Actual";"Oth Con Act v. Bud",#N/A,TRUE,"Actual";"Oth Con Act v. LY",#N/A,TRUE,"Actual";"Food Agents Actual",#N/A,TRUE,"Actual";"Food Agents Budget",#N/A,TRUE,"Actual";"Food Agents Last Year",#N/A,TRUE,"Actual";"Food Agents Act v. Bud",#N/A,TRUE,"Actual";"Food Agents Act v. LY",#N/A,TRUE,"Actual";"Milk Agents Actual",#N/A,TRUE,"Actual";"Milk Agents Budget",#N/A,TRUE,"Actual";"Milk Agents Last Year",#N/A,TRUE,"Actual";"Milk Agents Act v. Bud",#N/A,TRUE,"Actual";"Milk Agents Act v. LY",#N/A,TRUE,"Actual";"Foodservice Actual",#N/A,TRUE,"Actual";"Foodservice Budget",#N/A,TRUE,"Actual";"Foodservice Last Year",#N/A,TRUE,"Actual";"Food Agents Act v. Bud",#N/A,TRUE,"Actual";"Foodservice Act v. LY",#N/A,TRUE,"Actual";"CFI Actual",#N/A,TRUE,"Actual";"CFI Budget",#N/A,TRUE,"Actual";"CFI Last Year",#N/A,TRUE,"Actual";"CFI Act v. Bud",#N/A,TRUE,"Actual";"CFI Act v. LY",#N/A,TRUE,"Actual"}</definedName>
    <definedName name="wrn.Detail._.CFI." localSheetId="3" hidden="1">{"Summary - CFI",#N/A,TRUE,"Actual";"Overview Wk - CFI",#N/A,TRUE,"Actual";"Overview MTD - CFI",#N/A,TRUE,"Actual";"Overview YTD - CFI",#N/A,TRUE,"Actual";"Musgrave Actual",#N/A,TRUE,"Actual";"Musgrave Budget",#N/A,TRUE,"Actual";"Musgrave Last Yr",#N/A,TRUE,"Actual";"Musgrave Act v. Bud",#N/A,TRUE,"Actual";"Musgrave Act v. LY",#N/A,TRUE,"Actual";"Tesco Actual",#N/A,TRUE,"Actual";"Tesco Budget",#N/A,TRUE,"Actual";"Tesco Last Yr",#N/A,TRUE,"Actual";"Tesco Act v. Bud",#N/A,TRUE,"Actual";"Tesco Act v. LY",#N/A,TRUE,"Actual";"Dunnes Actual",#N/A,TRUE,"Actual";"Dunnes Budget",#N/A,TRUE,"Actual";"Dunnes Last Yr",#N/A,TRUE,"Actual";"Dunnes Act v. Bud",#N/A,TRUE,"Actual";"Dunnes Act v. LY",#N/A,TRUE,"Actual";"BWG Actual",#N/A,TRUE,"Actual";"BWG Budget",#N/A,TRUE,"Actual";"BWG Last Yr",#N/A,TRUE,"Actual";"BWG Act v. Bud",#N/A,TRUE,"Actual";"BWG Act v. LY",#N/A,TRUE,"Actual";"Superquinn Actual",#N/A,TRUE,"Actual";"Superquinn Budget",#N/A,TRUE,"Actual";"Superquinn Last Yr",#N/A,TRUE,"Actual";"Superquinn Act v. Bud",#N/A,TRUE,"Actual";"Superquinn Act v. LY",#N/A,TRUE,"Actual";"ADM Actual",#N/A,TRUE,"Actual";"ADM Budget",#N/A,TRUE,"Actual";"ADM Last Yr",#N/A,TRUE,"Actual";"ADM Act v. Bud",#N/A,TRUE,"Actual";"ADM Act v. LY",#N/A,TRUE,"Actual";"Oth Con Actual",#N/A,TRUE,"Actual";"Oth Con Budget",#N/A,TRUE,"Actual";"Oth Con Last Year",#N/A,TRUE,"Actual";"Oth Con Act v. Bud",#N/A,TRUE,"Actual";"Oth Con Act v. LY",#N/A,TRUE,"Actual";"Food Agents Actual",#N/A,TRUE,"Actual";"Food Agents Budget",#N/A,TRUE,"Actual";"Food Agents Last Year",#N/A,TRUE,"Actual";"Food Agents Act v. Bud",#N/A,TRUE,"Actual";"Food Agents Act v. LY",#N/A,TRUE,"Actual";"Milk Agents Actual",#N/A,TRUE,"Actual";"Milk Agents Budget",#N/A,TRUE,"Actual";"Milk Agents Last Year",#N/A,TRUE,"Actual";"Milk Agents Act v. Bud",#N/A,TRUE,"Actual";"Milk Agents Act v. LY",#N/A,TRUE,"Actual";"Foodservice Actual",#N/A,TRUE,"Actual";"Foodservice Budget",#N/A,TRUE,"Actual";"Foodservice Last Year",#N/A,TRUE,"Actual";"Food Agents Act v. Bud",#N/A,TRUE,"Actual";"Foodservice Act v. LY",#N/A,TRUE,"Actual";"CFI Actual",#N/A,TRUE,"Actual";"CFI Budget",#N/A,TRUE,"Actual";"CFI Last Year",#N/A,TRUE,"Actual";"CFI Act v. Bud",#N/A,TRUE,"Actual";"CFI Act v. LY",#N/A,TRUE,"Actual"}</definedName>
    <definedName name="wrn.Detail._.CFI." hidden="1">{"Summary - CFI",#N/A,TRUE,"Actual";"Overview Wk - CFI",#N/A,TRUE,"Actual";"Overview MTD - CFI",#N/A,TRUE,"Actual";"Overview YTD - CFI",#N/A,TRUE,"Actual";"Musgrave Actual",#N/A,TRUE,"Actual";"Musgrave Budget",#N/A,TRUE,"Actual";"Musgrave Last Yr",#N/A,TRUE,"Actual";"Musgrave Act v. Bud",#N/A,TRUE,"Actual";"Musgrave Act v. LY",#N/A,TRUE,"Actual";"Tesco Actual",#N/A,TRUE,"Actual";"Tesco Budget",#N/A,TRUE,"Actual";"Tesco Last Yr",#N/A,TRUE,"Actual";"Tesco Act v. Bud",#N/A,TRUE,"Actual";"Tesco Act v. LY",#N/A,TRUE,"Actual";"Dunnes Actual",#N/A,TRUE,"Actual";"Dunnes Budget",#N/A,TRUE,"Actual";"Dunnes Last Yr",#N/A,TRUE,"Actual";"Dunnes Act v. Bud",#N/A,TRUE,"Actual";"Dunnes Act v. LY",#N/A,TRUE,"Actual";"BWG Actual",#N/A,TRUE,"Actual";"BWG Budget",#N/A,TRUE,"Actual";"BWG Last Yr",#N/A,TRUE,"Actual";"BWG Act v. Bud",#N/A,TRUE,"Actual";"BWG Act v. LY",#N/A,TRUE,"Actual";"Superquinn Actual",#N/A,TRUE,"Actual";"Superquinn Budget",#N/A,TRUE,"Actual";"Superquinn Last Yr",#N/A,TRUE,"Actual";"Superquinn Act v. Bud",#N/A,TRUE,"Actual";"Superquinn Act v. LY",#N/A,TRUE,"Actual";"ADM Actual",#N/A,TRUE,"Actual";"ADM Budget",#N/A,TRUE,"Actual";"ADM Last Yr",#N/A,TRUE,"Actual";"ADM Act v. Bud",#N/A,TRUE,"Actual";"ADM Act v. LY",#N/A,TRUE,"Actual";"Oth Con Actual",#N/A,TRUE,"Actual";"Oth Con Budget",#N/A,TRUE,"Actual";"Oth Con Last Year",#N/A,TRUE,"Actual";"Oth Con Act v. Bud",#N/A,TRUE,"Actual";"Oth Con Act v. LY",#N/A,TRUE,"Actual";"Food Agents Actual",#N/A,TRUE,"Actual";"Food Agents Budget",#N/A,TRUE,"Actual";"Food Agents Last Year",#N/A,TRUE,"Actual";"Food Agents Act v. Bud",#N/A,TRUE,"Actual";"Food Agents Act v. LY",#N/A,TRUE,"Actual";"Milk Agents Actual",#N/A,TRUE,"Actual";"Milk Agents Budget",#N/A,TRUE,"Actual";"Milk Agents Last Year",#N/A,TRUE,"Actual";"Milk Agents Act v. Bud",#N/A,TRUE,"Actual";"Milk Agents Act v. LY",#N/A,TRUE,"Actual";"Foodservice Actual",#N/A,TRUE,"Actual";"Foodservice Budget",#N/A,TRUE,"Actual";"Foodservice Last Year",#N/A,TRUE,"Actual";"Food Agents Act v. Bud",#N/A,TRUE,"Actual";"Foodservice Act v. LY",#N/A,TRUE,"Actual";"CFI Actual",#N/A,TRUE,"Actual";"CFI Budget",#N/A,TRUE,"Actual";"CFI Last Year",#N/A,TRUE,"Actual";"CFI Act v. Bud",#N/A,TRUE,"Actual";"CFI Act v. LY",#N/A,TRUE,"Actual"}</definedName>
    <definedName name="wrn.Detail._.FF." localSheetId="0" hidden="1">{"Summary - FF",#N/A,TRUE,"Summary";"Overview Wk - FF",#N/A,TRUE,"Summary";"Overview MTD - FF",#N/A,TRUE,"Summary";"Overview YTD - FF",#N/A,TRUE,"Summary";"Food Agents Actual",#N/A,TRUE,"Summary";"Food Agents Budget",#N/A,TRUE,"Summary";"Food Agents Last Year",#N/A,TRUE,"Summary";"Food Agents Act v. Bud",#N/A,TRUE,"Summary";"Food Agents Act v. LY",#N/A,TRUE,"Summary";"Milk Agents Actual",#N/A,TRUE,"Summary";"Milk Agents Budget",#N/A,TRUE,"Summary";"Milk Agents Last Year",#N/A,TRUE,"Summary";"Milk Agents Act v. Bud",#N/A,TRUE,"Summary";"Milk Agents Act v. LY",#N/A,TRUE,"Summary";"Foodservice Actual",#N/A,TRUE,"Summary";"Foodservice Budget",#N/A,TRUE,"Summary";"Foodservice Last Year",#N/A,TRUE,"Summary";"Foodservice Act v. Bud",#N/A,TRUE,"Summary";"Foodservice Act v. LY",#N/A,TRUE,"Summary"}</definedName>
    <definedName name="wrn.Detail._.FF." localSheetId="3" hidden="1">{"Summary - FF",#N/A,TRUE,"Summary";"Overview Wk - FF",#N/A,TRUE,"Summary";"Overview MTD - FF",#N/A,TRUE,"Summary";"Overview YTD - FF",#N/A,TRUE,"Summary";"Food Agents Actual",#N/A,TRUE,"Summary";"Food Agents Budget",#N/A,TRUE,"Summary";"Food Agents Last Year",#N/A,TRUE,"Summary";"Food Agents Act v. Bud",#N/A,TRUE,"Summary";"Food Agents Act v. LY",#N/A,TRUE,"Summary";"Milk Agents Actual",#N/A,TRUE,"Summary";"Milk Agents Budget",#N/A,TRUE,"Summary";"Milk Agents Last Year",#N/A,TRUE,"Summary";"Milk Agents Act v. Bud",#N/A,TRUE,"Summary";"Milk Agents Act v. LY",#N/A,TRUE,"Summary";"Foodservice Actual",#N/A,TRUE,"Summary";"Foodservice Budget",#N/A,TRUE,"Summary";"Foodservice Last Year",#N/A,TRUE,"Summary";"Foodservice Act v. Bud",#N/A,TRUE,"Summary";"Foodservice Act v. LY",#N/A,TRUE,"Summary"}</definedName>
    <definedName name="wrn.Detail._.FF." hidden="1">{"Summary - FF",#N/A,TRUE,"Summary";"Overview Wk - FF",#N/A,TRUE,"Summary";"Overview MTD - FF",#N/A,TRUE,"Summary";"Overview YTD - FF",#N/A,TRUE,"Summary";"Food Agents Actual",#N/A,TRUE,"Summary";"Food Agents Budget",#N/A,TRUE,"Summary";"Food Agents Last Year",#N/A,TRUE,"Summary";"Food Agents Act v. Bud",#N/A,TRUE,"Summary";"Food Agents Act v. LY",#N/A,TRUE,"Summary";"Milk Agents Actual",#N/A,TRUE,"Summary";"Milk Agents Budget",#N/A,TRUE,"Summary";"Milk Agents Last Year",#N/A,TRUE,"Summary";"Milk Agents Act v. Bud",#N/A,TRUE,"Summary";"Milk Agents Act v. LY",#N/A,TRUE,"Summary";"Foodservice Actual",#N/A,TRUE,"Summary";"Foodservice Budget",#N/A,TRUE,"Summary";"Foodservice Last Year",#N/A,TRUE,"Summary";"Foodservice Act v. Bud",#N/A,TRUE,"Summary";"Foodservice Act v. LY",#N/A,TRUE,"Summary"}</definedName>
    <definedName name="wrn.Detail._.KA." localSheetId="0" hidden="1">{"Summary - KA",#N/A,TRUE,"Summary";"Overview Wk - KA",#N/A,TRUE,"Summary";"Overview MTD - KA",#N/A,TRUE,"Summary";"Overview YTD - KA",#N/A,TRUE,"Summary";"Musgrave Actual",#N/A,TRUE,"Summary";"Musgrave Budget",#N/A,TRUE,"Summary";"Musgrave Last Yr",#N/A,TRUE,"Summary";"Musgrave Act v. Bud",#N/A,TRUE,"Summary";"Musgrave Act v. LY",#N/A,TRUE,"Summary";"Tesco Actual",#N/A,TRUE,"Summary";"Tesco Budget",#N/A,TRUE,"Summary";"Tesco Last Yr",#N/A,TRUE,"Summary";"Tesco Act v. Bud",#N/A,TRUE,"Summary";"Tesco Act v. LY",#N/A,TRUE,"Summary";"Dunnes Actual",#N/A,TRUE,"Summary";"Dunnes Budget",#N/A,TRUE,"Summary";"Dunnes Last Yr",#N/A,TRUE,"Summary";"Dunnes Act v. Bud",#N/A,TRUE,"Summary";"Dunnes Act v. LY",#N/A,TRUE,"Summary";"Superquinn Actual",#N/A,TRUE,"Summary";"Superquinn Budget",#N/A,TRUE,"Summary";"Superquinn Last Yr",#N/A,TRUE,"Summary";"Superquinn Act v. Bud",#N/A,TRUE,"Summary";"Superquinn Act v. LY",#N/A,TRUE,"Summary";"BWG Actual",#N/A,TRUE,"Summary";"BWG Budget",#N/A,TRUE,"Summary";"BWG Last Yr",#N/A,TRUE,"Summary";"BWG Act v. Bud",#N/A,TRUE,"Summary";"BWG Act v. LY",#N/A,TRUE,"Summary";"ADM Actual",#N/A,TRUE,"Summary";"ADM Budget",#N/A,TRUE,"Summary";"ADM Last Yr",#N/A,TRUE,"Summary";"ADM Act v. Bud",#N/A,TRUE,"Summary";"ADM Act v. LY",#N/A,TRUE,"Summary";"Oth Con Actual",#N/A,TRUE,"Summary";"Oth Con Budget",#N/A,TRUE,"Summary";"Oth Con Last Year",#N/A,TRUE,"Summary";"Oth Con Act v. Bud",#N/A,TRUE,"Summary";"Oth Con Act v. LY",#N/A,TRUE,"Summary"}</definedName>
    <definedName name="wrn.Detail._.KA." localSheetId="3" hidden="1">{"Summary - KA",#N/A,TRUE,"Summary";"Overview Wk - KA",#N/A,TRUE,"Summary";"Overview MTD - KA",#N/A,TRUE,"Summary";"Overview YTD - KA",#N/A,TRUE,"Summary";"Musgrave Actual",#N/A,TRUE,"Summary";"Musgrave Budget",#N/A,TRUE,"Summary";"Musgrave Last Yr",#N/A,TRUE,"Summary";"Musgrave Act v. Bud",#N/A,TRUE,"Summary";"Musgrave Act v. LY",#N/A,TRUE,"Summary";"Tesco Actual",#N/A,TRUE,"Summary";"Tesco Budget",#N/A,TRUE,"Summary";"Tesco Last Yr",#N/A,TRUE,"Summary";"Tesco Act v. Bud",#N/A,TRUE,"Summary";"Tesco Act v. LY",#N/A,TRUE,"Summary";"Dunnes Actual",#N/A,TRUE,"Summary";"Dunnes Budget",#N/A,TRUE,"Summary";"Dunnes Last Yr",#N/A,TRUE,"Summary";"Dunnes Act v. Bud",#N/A,TRUE,"Summary";"Dunnes Act v. LY",#N/A,TRUE,"Summary";"Superquinn Actual",#N/A,TRUE,"Summary";"Superquinn Budget",#N/A,TRUE,"Summary";"Superquinn Last Yr",#N/A,TRUE,"Summary";"Superquinn Act v. Bud",#N/A,TRUE,"Summary";"Superquinn Act v. LY",#N/A,TRUE,"Summary";"BWG Actual",#N/A,TRUE,"Summary";"BWG Budget",#N/A,TRUE,"Summary";"BWG Last Yr",#N/A,TRUE,"Summary";"BWG Act v. Bud",#N/A,TRUE,"Summary";"BWG Act v. LY",#N/A,TRUE,"Summary";"ADM Actual",#N/A,TRUE,"Summary";"ADM Budget",#N/A,TRUE,"Summary";"ADM Last Yr",#N/A,TRUE,"Summary";"ADM Act v. Bud",#N/A,TRUE,"Summary";"ADM Act v. LY",#N/A,TRUE,"Summary";"Oth Con Actual",#N/A,TRUE,"Summary";"Oth Con Budget",#N/A,TRUE,"Summary";"Oth Con Last Year",#N/A,TRUE,"Summary";"Oth Con Act v. Bud",#N/A,TRUE,"Summary";"Oth Con Act v. LY",#N/A,TRUE,"Summary"}</definedName>
    <definedName name="wrn.Detail._.KA." hidden="1">{"Summary - KA",#N/A,TRUE,"Summary";"Overview Wk - KA",#N/A,TRUE,"Summary";"Overview MTD - KA",#N/A,TRUE,"Summary";"Overview YTD - KA",#N/A,TRUE,"Summary";"Musgrave Actual",#N/A,TRUE,"Summary";"Musgrave Budget",#N/A,TRUE,"Summary";"Musgrave Last Yr",#N/A,TRUE,"Summary";"Musgrave Act v. Bud",#N/A,TRUE,"Summary";"Musgrave Act v. LY",#N/A,TRUE,"Summary";"Tesco Actual",#N/A,TRUE,"Summary";"Tesco Budget",#N/A,TRUE,"Summary";"Tesco Last Yr",#N/A,TRUE,"Summary";"Tesco Act v. Bud",#N/A,TRUE,"Summary";"Tesco Act v. LY",#N/A,TRUE,"Summary";"Dunnes Actual",#N/A,TRUE,"Summary";"Dunnes Budget",#N/A,TRUE,"Summary";"Dunnes Last Yr",#N/A,TRUE,"Summary";"Dunnes Act v. Bud",#N/A,TRUE,"Summary";"Dunnes Act v. LY",#N/A,TRUE,"Summary";"Superquinn Actual",#N/A,TRUE,"Summary";"Superquinn Budget",#N/A,TRUE,"Summary";"Superquinn Last Yr",#N/A,TRUE,"Summary";"Superquinn Act v. Bud",#N/A,TRUE,"Summary";"Superquinn Act v. LY",#N/A,TRUE,"Summary";"BWG Actual",#N/A,TRUE,"Summary";"BWG Budget",#N/A,TRUE,"Summary";"BWG Last Yr",#N/A,TRUE,"Summary";"BWG Act v. Bud",#N/A,TRUE,"Summary";"BWG Act v. LY",#N/A,TRUE,"Summary";"ADM Actual",#N/A,TRUE,"Summary";"ADM Budget",#N/A,TRUE,"Summary";"ADM Last Yr",#N/A,TRUE,"Summary";"ADM Act v. Bud",#N/A,TRUE,"Summary";"ADM Act v. LY",#N/A,TRUE,"Summary";"Oth Con Actual",#N/A,TRUE,"Summary";"Oth Con Budget",#N/A,TRUE,"Summary";"Oth Con Last Year",#N/A,TRUE,"Summary";"Oth Con Act v. Bud",#N/A,TRUE,"Summary";"Oth Con Act v. LY",#N/A,TRUE,"Summary"}</definedName>
    <definedName name="wrn.Dunnes." localSheetId="0" hidden="1">{"Overview - Dunnes",#N/A,TRUE,"Print KA";"Dunnes Actual",#N/A,TRUE,"Print KA";"Dunnes Budget",#N/A,TRUE,"Print KA";"Dunnes Last Yr",#N/A,TRUE,"Print KA";"Dunnes Act v. Bud",#N/A,TRUE,"Print KA";"Dunnes Act v. LY",#N/A,TRUE,"Print KA"}</definedName>
    <definedName name="wrn.Dunnes." localSheetId="3" hidden="1">{"Overview - Dunnes",#N/A,TRUE,"Print KA";"Dunnes Actual",#N/A,TRUE,"Print KA";"Dunnes Budget",#N/A,TRUE,"Print KA";"Dunnes Last Yr",#N/A,TRUE,"Print KA";"Dunnes Act v. Bud",#N/A,TRUE,"Print KA";"Dunnes Act v. LY",#N/A,TRUE,"Print KA"}</definedName>
    <definedName name="wrn.Dunnes." hidden="1">{"Overview - Dunnes",#N/A,TRUE,"Print KA";"Dunnes Actual",#N/A,TRUE,"Print KA";"Dunnes Budget",#N/A,TRUE,"Print KA";"Dunnes Last Yr",#N/A,TRUE,"Print KA";"Dunnes Act v. Bud",#N/A,TRUE,"Print KA";"Dunnes Act v. LY",#N/A,TRUE,"Print KA"}</definedName>
    <definedName name="wrn.elton"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elton"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elton"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eltonw"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eltonw"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eltonw"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Field_PSS." localSheetId="0" hidden="1">{#N/A,#N/A,FALSE,"Summary";#N/A,#N/A,FALSE,"Expense";#N/A,#N/A,FALSE,"Capital"}</definedName>
    <definedName name="wrn.Field_PSS." localSheetId="3" hidden="1">{#N/A,#N/A,FALSE,"Summary";#N/A,#N/A,FALSE,"Expense";#N/A,#N/A,FALSE,"Capital"}</definedName>
    <definedName name="wrn.Field_PSS." hidden="1">{#N/A,#N/A,FALSE,"Summary";#N/A,#N/A,FALSE,"Expense";#N/A,#N/A,FALSE,"Capital"}</definedName>
    <definedName name="wrn.Food._.Agents." localSheetId="0" hidden="1">{"Overview Food Agents",#N/A,TRUE,"Print FF";"Food Agents Actual",#N/A,TRUE,"Print FF";"Food Agents Budget",#N/A,TRUE,"Print FF";"Food Agents Last Year",#N/A,TRUE,"Print FF";"Food Agents Act v. Bud",#N/A,TRUE,"Print FF";"Food Agents Act v. LY",#N/A,TRUE,"Print FF"}</definedName>
    <definedName name="wrn.Food._.Agents." localSheetId="3" hidden="1">{"Overview Food Agents",#N/A,TRUE,"Print FF";"Food Agents Actual",#N/A,TRUE,"Print FF";"Food Agents Budget",#N/A,TRUE,"Print FF";"Food Agents Last Year",#N/A,TRUE,"Print FF";"Food Agents Act v. Bud",#N/A,TRUE,"Print FF";"Food Agents Act v. LY",#N/A,TRUE,"Print FF"}</definedName>
    <definedName name="wrn.Food._.Agents." hidden="1">{"Overview Food Agents",#N/A,TRUE,"Print FF";"Food Agents Actual",#N/A,TRUE,"Print FF";"Food Agents Budget",#N/A,TRUE,"Print FF";"Food Agents Last Year",#N/A,TRUE,"Print FF";"Food Agents Act v. Bud",#N/A,TRUE,"Print FF";"Food Agents Act v. LY",#N/A,TRUE,"Print FF"}</definedName>
    <definedName name="wrn.Foodservice." localSheetId="0" hidden="1">{"Overview - Foodservice",#N/A,TRUE,"Print FF";"Foodservice Actual",#N/A,TRUE,"Print FF";"Foodservice Budget",#N/A,TRUE,"Print FF";"Foodservice Last Year",#N/A,TRUE,"Print FF";"Foodservice Act v. Bud",#N/A,TRUE,"Print FF";"Foodservice Act v. LY",#N/A,TRUE,"Print FF"}</definedName>
    <definedName name="wrn.Foodservice." localSheetId="3" hidden="1">{"Overview - Foodservice",#N/A,TRUE,"Print FF";"Foodservice Actual",#N/A,TRUE,"Print FF";"Foodservice Budget",#N/A,TRUE,"Print FF";"Foodservice Last Year",#N/A,TRUE,"Print FF";"Foodservice Act v. Bud",#N/A,TRUE,"Print FF";"Foodservice Act v. LY",#N/A,TRUE,"Print FF"}</definedName>
    <definedName name="wrn.Foodservice." hidden="1">{"Overview - Foodservice",#N/A,TRUE,"Print FF";"Foodservice Actual",#N/A,TRUE,"Print FF";"Foodservice Budget",#N/A,TRUE,"Print FF";"Foodservice Last Year",#N/A,TRUE,"Print FF";"Foodservice Act v. Bud",#N/A,TRUE,"Print FF";"Foodservice Act v. LY",#N/A,TRUE,"Print FF"}</definedName>
    <definedName name="wrn.FY9908EMEA." localSheetId="0"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wrn.FY9908EMEA." localSheetId="3"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wrn.FY9908EMEA." hidden="1">{#N/A,#N/A,FALSE,"Contents";#N/A,#N/A,FALSE,"Returns (Current+YTD)";#N/A,#N/A,FALSE,"Returns (Reason-MTD)";#N/A,#N/A,FALSE,"Returns (Reason-YTD)";#N/A,#N/A,FALSE,"Reserves (Current)";#N/A,#N/A,FALSE,"Reserves (YTD)";#N/A,#N/A,FALSE,"Reserves (PU)";#N/A,#N/A,FALSE,"Reserves (Rec)";#N/A,#N/A,FALSE,"PPRO (SKU)";#N/A,#N/A,FALSE,"PPRO (YTD)";#N/A,#N/A,FALSE,"Rebates (Current)";#N/A,#N/A,FALSE,"Rebates (YTD)"}</definedName>
    <definedName name="wrn.GenDistPac." localSheetId="0" hidden="1">{"whole",#N/A,FALSE,"Gen_Dist_Act_Bud";"whole",#N/A,FALSE,"Gen_Dist_T3months";"whole",#N/A,FALSE,"GD_PerP";"whole",#N/A,FALSE,"HR_Dist";"whole",#N/A,FALSE,"CS_DIST_ActvsBud";"whole",#N/A,FALSE,"CS_DIST_SUM_trail3mo";"whole",#N/A,FALSE,"ITG_act_Bud";"whole",#N/A,FALSE,"ITG_T3Mo"}</definedName>
    <definedName name="wrn.GenDistPac." localSheetId="3" hidden="1">{"whole",#N/A,FALSE,"Gen_Dist_Act_Bud";"whole",#N/A,FALSE,"Gen_Dist_T3months";"whole",#N/A,FALSE,"GD_PerP";"whole",#N/A,FALSE,"HR_Dist";"whole",#N/A,FALSE,"CS_DIST_ActvsBud";"whole",#N/A,FALSE,"CS_DIST_SUM_trail3mo";"whole",#N/A,FALSE,"ITG_act_Bud";"whole",#N/A,FALSE,"ITG_T3Mo"}</definedName>
    <definedName name="wrn.GenDistPac." hidden="1">{"whole",#N/A,FALSE,"Gen_Dist_Act_Bud";"whole",#N/A,FALSE,"Gen_Dist_T3months";"whole",#N/A,FALSE,"GD_PerP";"whole",#N/A,FALSE,"HR_Dist";"whole",#N/A,FALSE,"CS_DIST_ActvsBud";"whole",#N/A,FALSE,"CS_DIST_SUM_trail3mo";"whole",#N/A,FALSE,"ITG_act_Bud";"whole",#N/A,FALSE,"ITG_T3Mo"}</definedName>
    <definedName name="wrn.HR_Details." localSheetId="0" hidden="1">{"whole",#N/A,FALSE,"6701";"whole",#N/A,FALSE,"6702";"whole",#N/A,FALSE,"7710";"whole",#N/A,FALSE,"7714";"whole",#N/A,FALSE,"7729";"whole",#N/A,FALSE,"7730";"whole",#N/A,FALSE,"7731";"whole",#N/A,FALSE,"7736";"whole",#N/A,FALSE,"7737";"whole",#N/A,FALSE,"7738";"whole",#N/A,FALSE,"7743";"Whole",#N/A,FALSE,"7740";"whole",#N/A,FALSE,"7744";"whole",#N/A,FALSE,"7745"}</definedName>
    <definedName name="wrn.HR_Details." localSheetId="3" hidden="1">{"whole",#N/A,FALSE,"6701";"whole",#N/A,FALSE,"6702";"whole",#N/A,FALSE,"7710";"whole",#N/A,FALSE,"7714";"whole",#N/A,FALSE,"7729";"whole",#N/A,FALSE,"7730";"whole",#N/A,FALSE,"7731";"whole",#N/A,FALSE,"7736";"whole",#N/A,FALSE,"7737";"whole",#N/A,FALSE,"7738";"whole",#N/A,FALSE,"7743";"Whole",#N/A,FALSE,"7740";"whole",#N/A,FALSE,"7744";"whole",#N/A,FALSE,"7745"}</definedName>
    <definedName name="wrn.HR_Details." hidden="1">{"whole",#N/A,FALSE,"6701";"whole",#N/A,FALSE,"6702";"whole",#N/A,FALSE,"7710";"whole",#N/A,FALSE,"7714";"whole",#N/A,FALSE,"7729";"whole",#N/A,FALSE,"7730";"whole",#N/A,FALSE,"7731";"whole",#N/A,FALSE,"7736";"whole",#N/A,FALSE,"7737";"whole",#N/A,FALSE,"7738";"whole",#N/A,FALSE,"7743";"Whole",#N/A,FALSE,"7740";"whole",#N/A,FALSE,"7744";"whole",#N/A,FALSE,"7745"}</definedName>
    <definedName name="wrn.HR_HR" localSheetId="0" hidden="1">{"whole",#N/A,FALSE,"6701";"whole",#N/A,FALSE,"6702";"whole",#N/A,FALSE,"7710";"whole",#N/A,FALSE,"7714";"whole",#N/A,FALSE,"7729";"whole",#N/A,FALSE,"7730";"whole",#N/A,FALSE,"7731";"whole",#N/A,FALSE,"7736";"whole",#N/A,FALSE,"7737";"whole",#N/A,FALSE,"7738";"whole",#N/A,FALSE,"7743";"Whole",#N/A,FALSE,"7740";"whole",#N/A,FALSE,"7744";"whole",#N/A,FALSE,"7745"}</definedName>
    <definedName name="wrn.HR_HR" localSheetId="3" hidden="1">{"whole",#N/A,FALSE,"6701";"whole",#N/A,FALSE,"6702";"whole",#N/A,FALSE,"7710";"whole",#N/A,FALSE,"7714";"whole",#N/A,FALSE,"7729";"whole",#N/A,FALSE,"7730";"whole",#N/A,FALSE,"7731";"whole",#N/A,FALSE,"7736";"whole",#N/A,FALSE,"7737";"whole",#N/A,FALSE,"7738";"whole",#N/A,FALSE,"7743";"Whole",#N/A,FALSE,"7740";"whole",#N/A,FALSE,"7744";"whole",#N/A,FALSE,"7745"}</definedName>
    <definedName name="wrn.HR_HR" hidden="1">{"whole",#N/A,FALSE,"6701";"whole",#N/A,FALSE,"6702";"whole",#N/A,FALSE,"7710";"whole",#N/A,FALSE,"7714";"whole",#N/A,FALSE,"7729";"whole",#N/A,FALSE,"7730";"whole",#N/A,FALSE,"7731";"whole",#N/A,FALSE,"7736";"whole",#N/A,FALSE,"7737";"whole",#N/A,FALSE,"7738";"whole",#N/A,FALSE,"7743";"Whole",#N/A,FALSE,"7740";"whole",#N/A,FALSE,"7744";"whole",#N/A,FALSE,"7745"}</definedName>
    <definedName name="wrn.Mikemur."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Mikemur."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Mikemur."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Mikemurdist." localSheetId="0" hidden="1">{"whole",#N/A,FALSE,"Gen_Dist_Act_Bud";"whole",#N/A,FALSE,"Gen_Dist_T3months";"whole",#N/A,FALSE,"GD_PerP";"whole",#N/A,FALSE,"HR Dist'n"}</definedName>
    <definedName name="wrn.Mikemurdist." localSheetId="3" hidden="1">{"whole",#N/A,FALSE,"Gen_Dist_Act_Bud";"whole",#N/A,FALSE,"Gen_Dist_T3months";"whole",#N/A,FALSE,"GD_PerP";"whole",#N/A,FALSE,"HR Dist'n"}</definedName>
    <definedName name="wrn.Mikemurdist." hidden="1">{"whole",#N/A,FALSE,"Gen_Dist_Act_Bud";"whole",#N/A,FALSE,"Gen_Dist_T3months";"whole",#N/A,FALSE,"GD_PerP";"whole",#N/A,FALSE,"HR Dist'n"}</definedName>
    <definedName name="wrn.Milk._.Agents." localSheetId="0" hidden="1">{"Overview - Milk Agents",#N/A,TRUE,"Print FF";"Milk Agents Actual",#N/A,TRUE,"Print FF";"Milk Agents Budget",#N/A,TRUE,"Print FF";"Milk Agents Last Year",#N/A,TRUE,"Print FF";"Milk Agents Act v. Bud",#N/A,TRUE,"Print FF";"Milk Agents Act v. LY",#N/A,TRUE,"Print FF"}</definedName>
    <definedName name="wrn.Milk._.Agents." localSheetId="3" hidden="1">{"Overview - Milk Agents",#N/A,TRUE,"Print FF";"Milk Agents Actual",#N/A,TRUE,"Print FF";"Milk Agents Budget",#N/A,TRUE,"Print FF";"Milk Agents Last Year",#N/A,TRUE,"Print FF";"Milk Agents Act v. Bud",#N/A,TRUE,"Print FF";"Milk Agents Act v. LY",#N/A,TRUE,"Print FF"}</definedName>
    <definedName name="wrn.Milk._.Agents." hidden="1">{"Overview - Milk Agents",#N/A,TRUE,"Print FF";"Milk Agents Actual",#N/A,TRUE,"Print FF";"Milk Agents Budget",#N/A,TRUE,"Print FF";"Milk Agents Last Year",#N/A,TRUE,"Print FF";"Milk Agents Act v. Bud",#N/A,TRUE,"Print FF";"Milk Agents Act v. LY",#N/A,TRUE,"Print FF"}</definedName>
    <definedName name="wrn.Musgraves." localSheetId="0" hidden="1">{"Overview - Musgraves",#N/A,TRUE,"Print KA";"Musgrave Actual",#N/A,TRUE,"Print KA";"Musgrave Budget",#N/A,TRUE,"Print KA";"Musgrave Last Yr",#N/A,TRUE,"Print KA";"Musgrave Act v. Bud",#N/A,TRUE,"Print KA";"Musgrave Act v. LY",#N/A,TRUE,"Print KA"}</definedName>
    <definedName name="wrn.Musgraves." localSheetId="3" hidden="1">{"Overview - Musgraves",#N/A,TRUE,"Print KA";"Musgrave Actual",#N/A,TRUE,"Print KA";"Musgrave Budget",#N/A,TRUE,"Print KA";"Musgrave Last Yr",#N/A,TRUE,"Print KA";"Musgrave Act v. Bud",#N/A,TRUE,"Print KA";"Musgrave Act v. LY",#N/A,TRUE,"Print KA"}</definedName>
    <definedName name="wrn.Musgraves." hidden="1">{"Overview - Musgraves",#N/A,TRUE,"Print KA";"Musgrave Actual",#N/A,TRUE,"Print KA";"Musgrave Budget",#N/A,TRUE,"Print KA";"Musgrave Last Yr",#N/A,TRUE,"Print KA";"Musgrave Act v. Bud",#N/A,TRUE,"Print KA";"Musgrave Act v. LY",#N/A,TRUE,"Print KA"}</definedName>
    <definedName name="wrn.MYR._.Template."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rn.MYR._.Template."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rn.MYR._.Template."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rn.Other._.Convenience." localSheetId="0" hidden="1">{"Overviee - Oth Con",#N/A,TRUE,"Print KA";"Oth Con Actual",#N/A,TRUE,"Print KA";"Oth Con Budget",#N/A,TRUE,"Print KA";"Oth Con Last Year",#N/A,TRUE,"Print KA";"Oth Con Act v. Bud",#N/A,TRUE,"Print KA";"Oth Con Act v. LY",#N/A,TRUE,"Print KA"}</definedName>
    <definedName name="wrn.Other._.Convenience." localSheetId="3" hidden="1">{"Overviee - Oth Con",#N/A,TRUE,"Print KA";"Oth Con Actual",#N/A,TRUE,"Print KA";"Oth Con Budget",#N/A,TRUE,"Print KA";"Oth Con Last Year",#N/A,TRUE,"Print KA";"Oth Con Act v. Bud",#N/A,TRUE,"Print KA";"Oth Con Act v. LY",#N/A,TRUE,"Print KA"}</definedName>
    <definedName name="wrn.Other._.Convenience." hidden="1">{"Overviee - Oth Con",#N/A,TRUE,"Print KA";"Oth Con Actual",#N/A,TRUE,"Print KA";"Oth Con Budget",#N/A,TRUE,"Print KA";"Oth Con Last Year",#N/A,TRUE,"Print KA";"Oth Con Act v. Bud",#N/A,TRUE,"Print KA";"Oth Con Act v. LY",#N/A,TRUE,"Print KA"}</definedName>
    <definedName name="wrn.prodcon." localSheetId="0" hidden="1">{"closed",#N/A,FALSE,"Consolidated Products - Budget";"expanded",#N/A,FALSE,"Consolidated Products - Budget"}</definedName>
    <definedName name="wrn.prodcon." localSheetId="3" hidden="1">{"closed",#N/A,FALSE,"Consolidated Products - Budget";"expanded",#N/A,FALSE,"Consolidated Products - Budget"}</definedName>
    <definedName name="wrn.prodcon." hidden="1">{"closed",#N/A,FALSE,"Consolidated Products - Budget";"expanded",#N/A,FALSE,"Consolidated Products - Budget"}</definedName>
    <definedName name="wrn.Roxanna." localSheetId="0" hidden="1">{"whole",#N/A,FALSE,"CS HC";"whole",#N/A,FALSE,"CS_ACTvsBud";"whole",#N/A,FALSE,"CSTrail3mo";"whole",#N/A,FALSE,"CS Cost Per Head ";"whole",#N/A,FALSE,"CS CPH YTD"}</definedName>
    <definedName name="wrn.Roxanna." localSheetId="3" hidden="1">{"whole",#N/A,FALSE,"CS HC";"whole",#N/A,FALSE,"CS_ACTvsBud";"whole",#N/A,FALSE,"CSTrail3mo";"whole",#N/A,FALSE,"CS Cost Per Head ";"whole",#N/A,FALSE,"CS CPH YTD"}</definedName>
    <definedName name="wrn.Roxanna." hidden="1">{"whole",#N/A,FALSE,"CS HC";"whole",#N/A,FALSE,"CS_ACTvsBud";"whole",#N/A,FALSE,"CSTrail3mo";"whole",#N/A,FALSE,"CS Cost Per Head ";"whole",#N/A,FALSE,"CS CPH YTD"}</definedName>
    <definedName name="wrn.Roxydist." localSheetId="0" hidden="1">{"whole",#N/A,FALSE,"CS FIN Sum For Rox";"whole",#N/A,FALSE,"Gen_Dist_Act_Bud";"whole",#N/A,FALSE,"Gen_Dist_T3months";"whole",#N/A,FALSE,"GD_PerP";"whole",#N/A,FALSE,"CS_DIST_ActvsBud";"whole",#N/A,FALSE,"CS_DIST_SUM_trail3mo"}</definedName>
    <definedName name="wrn.Roxydist." localSheetId="3" hidden="1">{"whole",#N/A,FALSE,"CS FIN Sum For Rox";"whole",#N/A,FALSE,"Gen_Dist_Act_Bud";"whole",#N/A,FALSE,"Gen_Dist_T3months";"whole",#N/A,FALSE,"GD_PerP";"whole",#N/A,FALSE,"CS_DIST_ActvsBud";"whole",#N/A,FALSE,"CS_DIST_SUM_trail3mo"}</definedName>
    <definedName name="wrn.Roxydist." hidden="1">{"whole",#N/A,FALSE,"CS FIN Sum For Rox";"whole",#N/A,FALSE,"Gen_Dist_Act_Bud";"whole",#N/A,FALSE,"Gen_Dist_T3months";"whole",#N/A,FALSE,"GD_PerP";"whole",#N/A,FALSE,"CS_DIST_ActvsBud";"whole",#N/A,FALSE,"CS_DIST_SUM_trail3mo"}</definedName>
    <definedName name="wrn.Run._.Rates." localSheetId="0" hidden="1">{"Chart 1",#N/A,FALSE,"Run Rate";"Chart 2",#N/A,FALSE,"Run Rate (2)"}</definedName>
    <definedName name="wrn.Run._.Rates." localSheetId="3" hidden="1">{"Chart 1",#N/A,FALSE,"Run Rate";"Chart 2",#N/A,FALSE,"Run Rate (2)"}</definedName>
    <definedName name="wrn.Run._.Rates." hidden="1">{"Chart 1",#N/A,FALSE,"Run Rate";"Chart 2",#N/A,FALSE,"Run Rate (2)"}</definedName>
    <definedName name="wrn.Summary._.CFI." localSheetId="0" hidden="1">{"Summary - CFI",#N/A,FALSE,"Summary";"Overview Wk - CFI",#N/A,FALSE,"Summary";"Overview MTD - CFI",#N/A,FALSE,"Summary";"Overview YTD - CFI",#N/A,FALSE,"Summary"}</definedName>
    <definedName name="wrn.Summary._.CFI." localSheetId="3" hidden="1">{"Summary - CFI",#N/A,FALSE,"Summary";"Overview Wk - CFI",#N/A,FALSE,"Summary";"Overview MTD - CFI",#N/A,FALSE,"Summary";"Overview YTD - CFI",#N/A,FALSE,"Summary"}</definedName>
    <definedName name="wrn.Summary._.CFI." hidden="1">{"Summary - CFI",#N/A,FALSE,"Summary";"Overview Wk - CFI",#N/A,FALSE,"Summary";"Overview MTD - CFI",#N/A,FALSE,"Summary";"Overview YTD - CFI",#N/A,FALSE,"Summary"}</definedName>
    <definedName name="wrn.Summary._.FF." localSheetId="0" hidden="1">{"Summary - FF",#N/A,FALSE,"Summary";"Overview Wk - FF",#N/A,FALSE,"Summary";"Overview MTD - FF",#N/A,FALSE,"Summary";"Overview YTD - FF",#N/A,FALSE,"Summary"}</definedName>
    <definedName name="wrn.Summary._.FF." localSheetId="3" hidden="1">{"Summary - FF",#N/A,FALSE,"Summary";"Overview Wk - FF",#N/A,FALSE,"Summary";"Overview MTD - FF",#N/A,FALSE,"Summary";"Overview YTD - FF",#N/A,FALSE,"Summary"}</definedName>
    <definedName name="wrn.Summary._.FF." hidden="1">{"Summary - FF",#N/A,FALSE,"Summary";"Overview Wk - FF",#N/A,FALSE,"Summary";"Overview MTD - FF",#N/A,FALSE,"Summary";"Overview YTD - FF",#N/A,FALSE,"Summary"}</definedName>
    <definedName name="wrn.Summary._.KA." localSheetId="0" hidden="1">{"Summary - KA",#N/A,FALSE,"Summary";"Overview Wk - KA",#N/A,FALSE,"Summary";"Overview MTD - KA",#N/A,FALSE,"Summary";"Overview YTD - KA",#N/A,FALSE,"Summary"}</definedName>
    <definedName name="wrn.Summary._.KA." localSheetId="3" hidden="1">{"Summary - KA",#N/A,FALSE,"Summary";"Overview Wk - KA",#N/A,FALSE,"Summary";"Overview MTD - KA",#N/A,FALSE,"Summary";"Overview YTD - KA",#N/A,FALSE,"Summary"}</definedName>
    <definedName name="wrn.Summary._.KA." hidden="1">{"Summary - KA",#N/A,FALSE,"Summary";"Overview Wk - KA",#N/A,FALSE,"Summary";"Overview MTD - KA",#N/A,FALSE,"Summary";"Overview YTD - KA",#N/A,FALSE,"Summary"}</definedName>
    <definedName name="wrn.Superquinn." localSheetId="0" hidden="1">{"Overview - Superquinn",#N/A,TRUE,"Print KA";"Superquinn Actual",#N/A,TRUE,"Print KA";"Superquinn Budget",#N/A,TRUE,"Print KA";"Superquinn Last Yr",#N/A,TRUE,"Print KA";"Superquinn Act v. Bud",#N/A,TRUE,"Print KA";"Superquinn Act v. LY",#N/A,TRUE,"Print KA"}</definedName>
    <definedName name="wrn.Superquinn." localSheetId="3" hidden="1">{"Overview - Superquinn",#N/A,TRUE,"Print KA";"Superquinn Actual",#N/A,TRUE,"Print KA";"Superquinn Budget",#N/A,TRUE,"Print KA";"Superquinn Last Yr",#N/A,TRUE,"Print KA";"Superquinn Act v. Bud",#N/A,TRUE,"Print KA";"Superquinn Act v. LY",#N/A,TRUE,"Print KA"}</definedName>
    <definedName name="wrn.Superquinn." hidden="1">{"Overview - Superquinn",#N/A,TRUE,"Print KA";"Superquinn Actual",#N/A,TRUE,"Print KA";"Superquinn Budget",#N/A,TRUE,"Print KA";"Superquinn Last Yr",#N/A,TRUE,"Print KA";"Superquinn Act v. Bud",#N/A,TRUE,"Print KA";"Superquinn Act v. LY",#N/A,TRUE,"Print KA"}</definedName>
    <definedName name="wrn.Tesco." localSheetId="0" hidden="1">{"Overview - Tesco",#N/A,TRUE,"Print KA";"Tesco Actual",#N/A,TRUE,"Print KA";"Tesco Budget",#N/A,TRUE,"Print KA";"Tesco Last Yr",#N/A,TRUE,"Print KA";"Tesco Act v. Bud",#N/A,TRUE,"Print KA";"Tesco Act v. LY",#N/A,TRUE,"Print KA"}</definedName>
    <definedName name="wrn.Tesco." localSheetId="3" hidden="1">{"Overview - Tesco",#N/A,TRUE,"Print KA";"Tesco Actual",#N/A,TRUE,"Print KA";"Tesco Budget",#N/A,TRUE,"Print KA";"Tesco Last Yr",#N/A,TRUE,"Print KA";"Tesco Act v. Bud",#N/A,TRUE,"Print KA";"Tesco Act v. LY",#N/A,TRUE,"Print KA"}</definedName>
    <definedName name="wrn.Tesco." hidden="1">{"Overview - Tesco",#N/A,TRUE,"Print KA";"Tesco Actual",#N/A,TRUE,"Print KA";"Tesco Budget",#N/A,TRUE,"Print KA";"Tesco Last Yr",#N/A,TRUE,"Print KA";"Tesco Act v. Bud",#N/A,TRUE,"Print KA";"Tesco Act v. LY",#N/A,TRUE,"Print KA"}</definedName>
    <definedName name="wrn1.prodcon" localSheetId="0" hidden="1">{"closed",#N/A,FALSE,"Consolidated Products - Budget";"expanded",#N/A,FALSE,"Consolidated Products - Budget"}</definedName>
    <definedName name="wrn1.prodcon" localSheetId="3" hidden="1">{"closed",#N/A,FALSE,"Consolidated Products - Budget";"expanded",#N/A,FALSE,"Consolidated Products - Budget"}</definedName>
    <definedName name="wrn1.prodcon" hidden="1">{"closed",#N/A,FALSE,"Consolidated Products - Budget";"expanded",#N/A,FALSE,"Consolidated Products - Budget"}</definedName>
    <definedName name="wrngdp" localSheetId="0" hidden="1">{"whole",#N/A,FALSE,"Gen_Dist_Act_Bud";"whole",#N/A,FALSE,"Gen_Dist_T3months";"whole",#N/A,FALSE,"GD_PerP";"whole",#N/A,FALSE,"HR_Dist";"whole",#N/A,FALSE,"CS_DIST_ActvsBud";"whole",#N/A,FALSE,"CS_DIST_SUM_trail3mo";"whole",#N/A,FALSE,"ITG_act_Bud";"whole",#N/A,FALSE,"ITG_T3Mo"}</definedName>
    <definedName name="wrngdp" localSheetId="3" hidden="1">{"whole",#N/A,FALSE,"Gen_Dist_Act_Bud";"whole",#N/A,FALSE,"Gen_Dist_T3months";"whole",#N/A,FALSE,"GD_PerP";"whole",#N/A,FALSE,"HR_Dist";"whole",#N/A,FALSE,"CS_DIST_ActvsBud";"whole",#N/A,FALSE,"CS_DIST_SUM_trail3mo";"whole",#N/A,FALSE,"ITG_act_Bud";"whole",#N/A,FALSE,"ITG_T3Mo"}</definedName>
    <definedName name="wrngdp" hidden="1">{"whole",#N/A,FALSE,"Gen_Dist_Act_Bud";"whole",#N/A,FALSE,"Gen_Dist_T3months";"whole",#N/A,FALSE,"GD_PerP";"whole",#N/A,FALSE,"HR_Dist";"whole",#N/A,FALSE,"CS_DIST_ActvsBud";"whole",#N/A,FALSE,"CS_DIST_SUM_trail3mo";"whole",#N/A,FALSE,"ITG_act_Bud";"whole",#N/A,FALSE,"ITG_T3Mo"}</definedName>
    <definedName name="wrnhr" localSheetId="0" hidden="1">{"whole",#N/A,FALSE,"6701";"whole",#N/A,FALSE,"6702";"whole",#N/A,FALSE,"7710";"whole",#N/A,FALSE,"7714";"whole",#N/A,FALSE,"7729";"whole",#N/A,FALSE,"7730";"whole",#N/A,FALSE,"7731";"whole",#N/A,FALSE,"7736";"whole",#N/A,FALSE,"7737";"whole",#N/A,FALSE,"7738";"whole",#N/A,FALSE,"7743";"Whole",#N/A,FALSE,"7740";"whole",#N/A,FALSE,"7744";"whole",#N/A,FALSE,"7745"}</definedName>
    <definedName name="wrnhr" localSheetId="3" hidden="1">{"whole",#N/A,FALSE,"6701";"whole",#N/A,FALSE,"6702";"whole",#N/A,FALSE,"7710";"whole",#N/A,FALSE,"7714";"whole",#N/A,FALSE,"7729";"whole",#N/A,FALSE,"7730";"whole",#N/A,FALSE,"7731";"whole",#N/A,FALSE,"7736";"whole",#N/A,FALSE,"7737";"whole",#N/A,FALSE,"7738";"whole",#N/A,FALSE,"7743";"Whole",#N/A,FALSE,"7740";"whole",#N/A,FALSE,"7744";"whole",#N/A,FALSE,"7745"}</definedName>
    <definedName name="wrnhr" hidden="1">{"whole",#N/A,FALSE,"6701";"whole",#N/A,FALSE,"6702";"whole",#N/A,FALSE,"7710";"whole",#N/A,FALSE,"7714";"whole",#N/A,FALSE,"7729";"whole",#N/A,FALSE,"7730";"whole",#N/A,FALSE,"7731";"whole",#N/A,FALSE,"7736";"whole",#N/A,FALSE,"7737";"whole",#N/A,FALSE,"7738";"whole",#N/A,FALSE,"7743";"Whole",#N/A,FALSE,"7740";"whole",#N/A,FALSE,"7744";"whole",#N/A,FALSE,"7745"}</definedName>
    <definedName name="wrnhrhr" localSheetId="0" hidden="1">{"whole",#N/A,FALSE,"6701";"whole",#N/A,FALSE,"6702";"whole",#N/A,FALSE,"7710";"whole",#N/A,FALSE,"7714";"whole",#N/A,FALSE,"7729";"whole",#N/A,FALSE,"7730";"whole",#N/A,FALSE,"7731";"whole",#N/A,FALSE,"7736";"whole",#N/A,FALSE,"7737";"whole",#N/A,FALSE,"7738";"whole",#N/A,FALSE,"7743";"Whole",#N/A,FALSE,"7740";"whole",#N/A,FALSE,"7744";"whole",#N/A,FALSE,"7745"}</definedName>
    <definedName name="wrnhrhr" localSheetId="3" hidden="1">{"whole",#N/A,FALSE,"6701";"whole",#N/A,FALSE,"6702";"whole",#N/A,FALSE,"7710";"whole",#N/A,FALSE,"7714";"whole",#N/A,FALSE,"7729";"whole",#N/A,FALSE,"7730";"whole",#N/A,FALSE,"7731";"whole",#N/A,FALSE,"7736";"whole",#N/A,FALSE,"7737";"whole",#N/A,FALSE,"7738";"whole",#N/A,FALSE,"7743";"Whole",#N/A,FALSE,"7740";"whole",#N/A,FALSE,"7744";"whole",#N/A,FALSE,"7745"}</definedName>
    <definedName name="wrnhrhr" hidden="1">{"whole",#N/A,FALSE,"6701";"whole",#N/A,FALSE,"6702";"whole",#N/A,FALSE,"7710";"whole",#N/A,FALSE,"7714";"whole",#N/A,FALSE,"7729";"whole",#N/A,FALSE,"7730";"whole",#N/A,FALSE,"7731";"whole",#N/A,FALSE,"7736";"whole",#N/A,FALSE,"7737";"whole",#N/A,FALSE,"7738";"whole",#N/A,FALSE,"7743";"Whole",#N/A,FALSE,"7740";"whole",#N/A,FALSE,"7744";"whole",#N/A,FALSE,"7745"}</definedName>
    <definedName name="wrnmike"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mike"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mike"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rnmike2" localSheetId="0" hidden="1">{"whole",#N/A,FALSE,"Gen_Dist_Act_Bud";"whole",#N/A,FALSE,"Gen_Dist_T3months";"whole",#N/A,FALSE,"GD_PerP";"whole",#N/A,FALSE,"HR Dist'n"}</definedName>
    <definedName name="wrnmike2" localSheetId="3" hidden="1">{"whole",#N/A,FALSE,"Gen_Dist_Act_Bud";"whole",#N/A,FALSE,"Gen_Dist_T3months";"whole",#N/A,FALSE,"GD_PerP";"whole",#N/A,FALSE,"HR Dist'n"}</definedName>
    <definedName name="wrnmike2" hidden="1">{"whole",#N/A,FALSE,"Gen_Dist_Act_Bud";"whole",#N/A,FALSE,"Gen_Dist_T3months";"whole",#N/A,FALSE,"GD_PerP";"whole",#N/A,FALSE,"HR Dist'n"}</definedName>
    <definedName name="wrnmyr"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rnmyr"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rnmyr"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rnpss" localSheetId="0" hidden="1">{#N/A,#N/A,FALSE,"Summary";#N/A,#N/A,FALSE,"Expense";#N/A,#N/A,FALSE,"Capital"}</definedName>
    <definedName name="wrnpss" localSheetId="3" hidden="1">{#N/A,#N/A,FALSE,"Summary";#N/A,#N/A,FALSE,"Expense";#N/A,#N/A,FALSE,"Capital"}</definedName>
    <definedName name="wrnpss" hidden="1">{#N/A,#N/A,FALSE,"Summary";#N/A,#N/A,FALSE,"Expense";#N/A,#N/A,FALSE,"Capital"}</definedName>
    <definedName name="wrnrox" localSheetId="0" hidden="1">{"whole",#N/A,FALSE,"CS HC";"whole",#N/A,FALSE,"CS_ACTvsBud";"whole",#N/A,FALSE,"CSTrail3mo";"whole",#N/A,FALSE,"CS Cost Per Head ";"whole",#N/A,FALSE,"CS CPH YTD"}</definedName>
    <definedName name="wrnrox" localSheetId="3" hidden="1">{"whole",#N/A,FALSE,"CS HC";"whole",#N/A,FALSE,"CS_ACTvsBud";"whole",#N/A,FALSE,"CSTrail3mo";"whole",#N/A,FALSE,"CS Cost Per Head ";"whole",#N/A,FALSE,"CS CPH YTD"}</definedName>
    <definedName name="wrnrox" hidden="1">{"whole",#N/A,FALSE,"CS HC";"whole",#N/A,FALSE,"CS_ACTvsBud";"whole",#N/A,FALSE,"CSTrail3mo";"whole",#N/A,FALSE,"CS Cost Per Head ";"whole",#N/A,FALSE,"CS CPH YTD"}</definedName>
    <definedName name="wrnrox2" localSheetId="0" hidden="1">{"whole",#N/A,FALSE,"CS FIN Sum For Rox";"whole",#N/A,FALSE,"Gen_Dist_Act_Bud";"whole",#N/A,FALSE,"Gen_Dist_T3months";"whole",#N/A,FALSE,"GD_PerP";"whole",#N/A,FALSE,"CS_DIST_ActvsBud";"whole",#N/A,FALSE,"CS_DIST_SUM_trail3mo"}</definedName>
    <definedName name="wrnrox2" localSheetId="3" hidden="1">{"whole",#N/A,FALSE,"CS FIN Sum For Rox";"whole",#N/A,FALSE,"Gen_Dist_Act_Bud";"whole",#N/A,FALSE,"Gen_Dist_T3months";"whole",#N/A,FALSE,"GD_PerP";"whole",#N/A,FALSE,"CS_DIST_ActvsBud";"whole",#N/A,FALSE,"CS_DIST_SUM_trail3mo"}</definedName>
    <definedName name="wrnrox2" hidden="1">{"whole",#N/A,FALSE,"CS FIN Sum For Rox";"whole",#N/A,FALSE,"Gen_Dist_Act_Bud";"whole",#N/A,FALSE,"Gen_Dist_T3months";"whole",#N/A,FALSE,"GD_PerP";"whole",#N/A,FALSE,"CS_DIST_ActvsBud";"whole",#N/A,FALSE,"CS_DIST_SUM_trail3mo"}</definedName>
    <definedName name="wrnrun" localSheetId="0" hidden="1">{"Chart 1",#N/A,FALSE,"Run Rate";"Chart 2",#N/A,FALSE,"Run Rate (2)"}</definedName>
    <definedName name="wrnrun" localSheetId="3" hidden="1">{"Chart 1",#N/A,FALSE,"Run Rate";"Chart 2",#N/A,FALSE,"Run Rate (2)"}</definedName>
    <definedName name="wrnrun" hidden="1">{"Chart 1",#N/A,FALSE,"Run Rate";"Chart 2",#N/A,FALSE,"Run Rate (2)"}</definedName>
    <definedName name="Wwrn.6713" localSheetId="0" hidden="1">{#N/A,#N/A,FALSE,"Summary";#N/A,#N/A,FALSE,"Details";#N/A,#N/A,FALSE,"Month-Hd";#N/A,#N/A,FALSE,"YTD-Hd";#N/A,#N/A,FALSE,"Capital"}</definedName>
    <definedName name="Wwrn.6713" localSheetId="3" hidden="1">{#N/A,#N/A,FALSE,"Summary";#N/A,#N/A,FALSE,"Details";#N/A,#N/A,FALSE,"Month-Hd";#N/A,#N/A,FALSE,"YTD-Hd";#N/A,#N/A,FALSE,"Capital"}</definedName>
    <definedName name="Wwrn.6713" hidden="1">{#N/A,#N/A,FALSE,"Summary";#N/A,#N/A,FALSE,"Details";#N/A,#N/A,FALSE,"Month-Hd";#N/A,#N/A,FALSE,"YTD-Hd";#N/A,#N/A,FALSE,"Capital"}</definedName>
    <definedName name="Wwrn.Field_PSS" localSheetId="0" hidden="1">{#N/A,#N/A,FALSE,"Summary";#N/A,#N/A,FALSE,"Expense";#N/A,#N/A,FALSE,"Capital"}</definedName>
    <definedName name="Wwrn.Field_PSS" localSheetId="3" hidden="1">{#N/A,#N/A,FALSE,"Summary";#N/A,#N/A,FALSE,"Expense";#N/A,#N/A,FALSE,"Capital"}</definedName>
    <definedName name="Wwrn.Field_PSS" hidden="1">{#N/A,#N/A,FALSE,"Summary";#N/A,#N/A,FALSE,"Expense";#N/A,#N/A,FALSE,"Capital"}</definedName>
    <definedName name="www" localSheetId="0"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ww" localSheetId="3"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ww" hidden="1">{"whole",#N/A,FALSE,"HR HC";"whole",#N/A,FALSE,"HRDEPT_act_v_BUD";"whole",#N/A,FALSE,"HRTrail3mo";"whole",#N/A,FALSE,"HR_Cost Per Head";"whole",#N/A,FALSE,"HR CPH YTD";"whole",#N/A,FALSE,"CostperNewbies";"whole",#N/A,FALSE,"Benefits Per Head";"whole",#N/A,FALSE,"6701";"whole",#N/A,FALSE,"6702";"whole",#N/A,FALSE,"7710";"whole",#N/A,FALSE,"7714";"whole",#N/A,FALSE,"7729";"whole",#N/A,FALSE,"7730";"whole",#N/A,FALSE,"7731";"whole",#N/A,FALSE,"7732";"whole",#N/A,FALSE,"7733";"whole",#N/A,FALSE,"7734";"whole",#N/A,FALSE,"7735";"whole",#N/A,FALSE,"7736";"whole",#N/A,FALSE,"7737";"whole",#N/A,FALSE,"7738";"Whole",#N/A,FALSE,"7740";"whole",#N/A,FALSE,"7743";"whole",#N/A,FALSE,"7744";"whole",#N/A,FALSE,"7745"}</definedName>
    <definedName name="www.mike" localSheetId="0" hidden="1">{"whole",#N/A,FALSE,"Gen_Dist_Act_Bud";"whole",#N/A,FALSE,"Gen_Dist_T3months";"whole",#N/A,FALSE,"GD_PerP";"whole",#N/A,FALSE,"HR Dist'n"}</definedName>
    <definedName name="www.mike" localSheetId="3" hidden="1">{"whole",#N/A,FALSE,"Gen_Dist_Act_Bud";"whole",#N/A,FALSE,"Gen_Dist_T3months";"whole",#N/A,FALSE,"GD_PerP";"whole",#N/A,FALSE,"HR Dist'n"}</definedName>
    <definedName name="www.mike" hidden="1">{"whole",#N/A,FALSE,"Gen_Dist_Act_Bud";"whole",#N/A,FALSE,"Gen_Dist_T3months";"whole",#N/A,FALSE,"GD_PerP";"whole",#N/A,FALSE,"HR Dist'n"}</definedName>
    <definedName name="www.myr" localSheetId="0"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ww.myr" localSheetId="3"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ww.myr" hidden="1">{"Title",#N/A,FALSE,"Title";"OrgChart",#N/A,FALSE,"#5-OrgChart";"Commentary",#N/A,FALSE,"#7-High-Low";"Headcount",#N/A,FALSE,"HC";"Spending",#N/A,FALSE,"Spending";"ContrExpense",#N/A,FALSE,"G&amp;A";"Distribution",#N/A,FALSE,"Distribution";"Appendix Header",#N/A,FALSE,"Appendix";"Capital",#N/A,FALSE,"Capital";"HC Appendix\",#N/A,FALSE,"HC Appendix";"Store",#N/A,FALSE,"Store Appendix";"Travel",#N/A,FALSE,"Travel Appendix";"Misc",#N/A,FALSE,"Misc";"Contracts",#N/A,FALSE,"Contracts Appendix";"Facilities",#N/A,FALSE,"Facilities";"PPR",#N/A,FALSE,"PPR"}</definedName>
    <definedName name="www.run" localSheetId="0" hidden="1">{"Chart 1",#N/A,FALSE,"Run Rate";"Chart 2",#N/A,FALSE,"Run Rate (2)"}</definedName>
    <definedName name="www.run" localSheetId="3" hidden="1">{"Chart 1",#N/A,FALSE,"Run Rate";"Chart 2",#N/A,FALSE,"Run Rate (2)"}</definedName>
    <definedName name="www.run" hidden="1">{"Chart 1",#N/A,FALSE,"Run Rate";"Chart 2",#N/A,FALSE,"Run Rate (2)"}</definedName>
    <definedName name="www.ww" localSheetId="0" hidden="1">{"whole",#N/A,FALSE,"CS FIN Sum For Rox";"whole",#N/A,FALSE,"Gen_Dist_Act_Bud";"whole",#N/A,FALSE,"Gen_Dist_T3months";"whole",#N/A,FALSE,"GD_PerP";"whole",#N/A,FALSE,"CS_DIST_ActvsBud";"whole",#N/A,FALSE,"CS_DIST_SUM_trail3mo"}</definedName>
    <definedName name="www.ww" localSheetId="3" hidden="1">{"whole",#N/A,FALSE,"CS FIN Sum For Rox";"whole",#N/A,FALSE,"Gen_Dist_Act_Bud";"whole",#N/A,FALSE,"Gen_Dist_T3months";"whole",#N/A,FALSE,"GD_PerP";"whole",#N/A,FALSE,"CS_DIST_ActvsBud";"whole",#N/A,FALSE,"CS_DIST_SUM_trail3mo"}</definedName>
    <definedName name="www.ww" hidden="1">{"whole",#N/A,FALSE,"CS FIN Sum For Rox";"whole",#N/A,FALSE,"Gen_Dist_Act_Bud";"whole",#N/A,FALSE,"Gen_Dist_T3months";"whole",#N/A,FALSE,"GD_PerP";"whole",#N/A,FALSE,"CS_DIST_ActvsBud";"whole",#N/A,FALSE,"CS_DIST_SUM_trail3mo"}</definedName>
    <definedName name="www.xxx" localSheetId="0" hidden="1">{"whole",#N/A,FALSE,"CS FIN Sum For Rox";"whole",#N/A,FALSE,"Gen_Dist_Act_Bud";"whole",#N/A,FALSE,"Gen_Dist_T3months";"whole",#N/A,FALSE,"GD_PerP";"whole",#N/A,FALSE,"CS_DIST_ActvsBud";"whole",#N/A,FALSE,"CS_DIST_SUM_trail3mo"}</definedName>
    <definedName name="www.xxx" localSheetId="3" hidden="1">{"whole",#N/A,FALSE,"CS FIN Sum For Rox";"whole",#N/A,FALSE,"Gen_Dist_Act_Bud";"whole",#N/A,FALSE,"Gen_Dist_T3months";"whole",#N/A,FALSE,"GD_PerP";"whole",#N/A,FALSE,"CS_DIST_ActvsBud";"whole",#N/A,FALSE,"CS_DIST_SUM_trail3mo"}</definedName>
    <definedName name="www.xxx" hidden="1">{"whole",#N/A,FALSE,"CS FIN Sum For Rox";"whole",#N/A,FALSE,"Gen_Dist_Act_Bud";"whole",#N/A,FALSE,"Gen_Dist_T3months";"whole",#N/A,FALSE,"GD_PerP";"whole",#N/A,FALSE,"CS_DIST_ActvsBud";"whole",#N/A,FALSE,"CS_DIST_SUM_trail3mo"}</definedName>
    <definedName name="x" localSheetId="0" hidden="1">{#N/A,#N/A,FALSE,"Summary";#N/A,#N/A,FALSE,"Details";#N/A,#N/A,FALSE,"Month-Hd";#N/A,#N/A,FALSE,"YTD-Hd";#N/A,#N/A,FALSE,"Capital"}</definedName>
    <definedName name="x" localSheetId="3" hidden="1">{#N/A,#N/A,FALSE,"Summary";#N/A,#N/A,FALSE,"Details";#N/A,#N/A,FALSE,"Month-Hd";#N/A,#N/A,FALSE,"YTD-Hd";#N/A,#N/A,FALSE,"Capital"}</definedName>
    <definedName name="x" hidden="1">{#N/A,#N/A,FALSE,"Summary";#N/A,#N/A,FALSE,"Details";#N/A,#N/A,FALSE,"Month-Hd";#N/A,#N/A,FALSE,"YTD-Hd";#N/A,#N/A,FALSE,"Capital"}</definedName>
    <definedName name="xx" localSheetId="0" hidden="1">{"whole",#N/A,FALSE,"Gen_Dist_Act_Bud";"whole",#N/A,FALSE,"Gen_Dist_T3months";"whole",#N/A,FALSE,"GD_PerP";"whole",#N/A,FALSE,"HR_Dist";"whole",#N/A,FALSE,"CS_DIST_ActvsBud";"whole",#N/A,FALSE,"CS_DIST_SUM_trail3mo";"whole",#N/A,FALSE,"ITG_act_Bud";"whole",#N/A,FALSE,"ITG_T3Mo"}</definedName>
    <definedName name="xx" localSheetId="3" hidden="1">{"whole",#N/A,FALSE,"Gen_Dist_Act_Bud";"whole",#N/A,FALSE,"Gen_Dist_T3months";"whole",#N/A,FALSE,"GD_PerP";"whole",#N/A,FALSE,"HR_Dist";"whole",#N/A,FALSE,"CS_DIST_ActvsBud";"whole",#N/A,FALSE,"CS_DIST_SUM_trail3mo";"whole",#N/A,FALSE,"ITG_act_Bud";"whole",#N/A,FALSE,"ITG_T3Mo"}</definedName>
    <definedName name="xx" hidden="1">{"whole",#N/A,FALSE,"Gen_Dist_Act_Bud";"whole",#N/A,FALSE,"Gen_Dist_T3months";"whole",#N/A,FALSE,"GD_PerP";"whole",#N/A,FALSE,"HR_Dist";"whole",#N/A,FALSE,"CS_DIST_ActvsBud";"whole",#N/A,FALSE,"CS_DIST_SUM_trail3mo";"whole",#N/A,FALSE,"ITG_act_Bud";"whole",#N/A,FALSE,"ITG_T3Mo"}</definedName>
    <definedName name="xxllskdkf" localSheetId="0" hidden="1">{"whole",#N/A,FALSE,"CS HC";"whole",#N/A,FALSE,"CS_ACTvsBud";"whole",#N/A,FALSE,"CSTrail3mo";"whole",#N/A,FALSE,"CS Cost Per Head ";"whole",#N/A,FALSE,"CS CPH YTD"}</definedName>
    <definedName name="xxllskdkf" localSheetId="3" hidden="1">{"whole",#N/A,FALSE,"CS HC";"whole",#N/A,FALSE,"CS_ACTvsBud";"whole",#N/A,FALSE,"CSTrail3mo";"whole",#N/A,FALSE,"CS Cost Per Head ";"whole",#N/A,FALSE,"CS CPH YTD"}</definedName>
    <definedName name="xxllskdkf" hidden="1">{"whole",#N/A,FALSE,"CS HC";"whole",#N/A,FALSE,"CS_ACTvsBud";"whole",#N/A,FALSE,"CSTrail3mo";"whole",#N/A,FALSE,"CS Cost Per Head ";"whole",#N/A,FALSE,"CS CPH YTD"}</definedName>
    <definedName name="xxxxx" localSheetId="0" hidden="1">{"whole",#N/A,FALSE,"CS FIN Sum For Rox";"whole",#N/A,FALSE,"Gen_Dist_Act_Bud";"whole",#N/A,FALSE,"Gen_Dist_T3months";"whole",#N/A,FALSE,"GD_PerP";"whole",#N/A,FALSE,"CS_DIST_ActvsBud";"whole",#N/A,FALSE,"CS_DIST_SUM_trail3mo"}</definedName>
    <definedName name="xxxxx" localSheetId="3" hidden="1">{"whole",#N/A,FALSE,"CS FIN Sum For Rox";"whole",#N/A,FALSE,"Gen_Dist_Act_Bud";"whole",#N/A,FALSE,"Gen_Dist_T3months";"whole",#N/A,FALSE,"GD_PerP";"whole",#N/A,FALSE,"CS_DIST_ActvsBud";"whole",#N/A,FALSE,"CS_DIST_SUM_trail3mo"}</definedName>
    <definedName name="xxxxx" hidden="1">{"whole",#N/A,FALSE,"CS FIN Sum For Rox";"whole",#N/A,FALSE,"Gen_Dist_Act_Bud";"whole",#N/A,FALSE,"Gen_Dist_T3months";"whole",#N/A,FALSE,"GD_PerP";"whole",#N/A,FALSE,"CS_DIST_ActvsBud";"whole",#N/A,FALSE,"CS_DIST_SUM_trail3mo"}</definedName>
    <definedName name="xy" localSheetId="0" hidden="1">{"whole",#N/A,FALSE,"6701";"whole",#N/A,FALSE,"6702";"whole",#N/A,FALSE,"7710";"whole",#N/A,FALSE,"7714";"whole",#N/A,FALSE,"7729";"whole",#N/A,FALSE,"7730";"whole",#N/A,FALSE,"7731";"whole",#N/A,FALSE,"7736";"whole",#N/A,FALSE,"7737";"whole",#N/A,FALSE,"7738";"whole",#N/A,FALSE,"7743";"Whole",#N/A,FALSE,"7740";"whole",#N/A,FALSE,"7744";"whole",#N/A,FALSE,"7745"}</definedName>
    <definedName name="xy" localSheetId="3" hidden="1">{"whole",#N/A,FALSE,"6701";"whole",#N/A,FALSE,"6702";"whole",#N/A,FALSE,"7710";"whole",#N/A,FALSE,"7714";"whole",#N/A,FALSE,"7729";"whole",#N/A,FALSE,"7730";"whole",#N/A,FALSE,"7731";"whole",#N/A,FALSE,"7736";"whole",#N/A,FALSE,"7737";"whole",#N/A,FALSE,"7738";"whole",#N/A,FALSE,"7743";"Whole",#N/A,FALSE,"7740";"whole",#N/A,FALSE,"7744";"whole",#N/A,FALSE,"7745"}</definedName>
    <definedName name="xy" hidden="1">{"whole",#N/A,FALSE,"6701";"whole",#N/A,FALSE,"6702";"whole",#N/A,FALSE,"7710";"whole",#N/A,FALSE,"7714";"whole",#N/A,FALSE,"7729";"whole",#N/A,FALSE,"7730";"whole",#N/A,FALSE,"7731";"whole",#N/A,FALSE,"7736";"whole",#N/A,FALSE,"7737";"whole",#N/A,FALSE,"7738";"whole",#N/A,FALSE,"7743";"Whole",#N/A,FALSE,"7740";"whole",#N/A,FALSE,"7744";"whole",#N/A,FALSE,"7745"}</definedName>
    <definedName name="Z_75F32A3F_F923_476E_B541_194170A25E6B_.wvu.Cols" hidden="1">'[1] Working Schedule'!$G$1:$G$65536</definedName>
    <definedName name="Z_75F32A3F_F923_476E_B541_194170A25E6B_.wvu.PrintArea" hidden="1">'[1] Working Schedule'!$A$1:$F$128</definedName>
    <definedName name="Z_75F32A3F_F923_476E_B541_194170A25E6B_.wvu.Rows" hidden="1">[1]Summary!$A$19:$IV$19</definedName>
    <definedName name="Z_A3693F2F_F10E_4FD3_BC9A_8F7D9E490731_.wvu.PrintArea" hidden="1">#REF!</definedName>
    <definedName name="Z_A3693F2F_F10E_4FD3_BC9A_8F7D9E490731_.wvu.PrintTitles" hidden="1">#REF!</definedName>
    <definedName name="Z_A3693F2F_F10E_4FD3_BC9A_8F7D9E490731_.wvu.Rows" hidden="1">#REF!</definedName>
    <definedName name="Z_FF233486_D072_4A40_BA56_DB535113B1E1_.wvu.Cols" hidden="1">'[2] Working Schedule'!#REF!,'[2] Working Schedule'!$G$1:$G$65536</definedName>
    <definedName name="Z_FF233486_D072_4A40_BA56_DB535113B1E1_.wvu.PrintArea" hidden="1">#REF!</definedName>
    <definedName name="Z_FF233486_D072_4A40_BA56_DB535113B1E1_.wvu.Rows" hidden="1">'[2] Working Schedule'!#REF!,'[2] Working Schedule'!$A$1:$IV$1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00" i="12" l="1"/>
  <c r="K268" i="12" s="1"/>
  <c r="J200" i="12"/>
  <c r="J268" i="12" s="1"/>
  <c r="I200" i="12"/>
  <c r="I268" i="12" s="1"/>
  <c r="H200" i="12"/>
  <c r="H268" i="12" s="1"/>
  <c r="G200" i="12"/>
  <c r="F200" i="12"/>
  <c r="E200" i="12"/>
  <c r="E268" i="12" s="1"/>
  <c r="D200" i="12"/>
  <c r="D268" i="12" s="1"/>
  <c r="C200" i="12"/>
  <c r="C268" i="12" s="1"/>
  <c r="F192" i="12"/>
  <c r="G268" i="12"/>
  <c r="F268" i="12"/>
  <c r="BE9" i="1" l="1"/>
  <c r="BD9" i="1"/>
  <c r="BC9" i="1"/>
  <c r="BB9" i="1"/>
  <c r="BA9" i="1"/>
  <c r="AZ9" i="1"/>
  <c r="AY9" i="1"/>
  <c r="AX9" i="1"/>
  <c r="AW9" i="1"/>
  <c r="AV9" i="1"/>
  <c r="D5" i="60" l="1"/>
  <c r="C8" i="60"/>
  <c r="C58" i="30" l="1"/>
  <c r="K49" i="30"/>
  <c r="J49" i="30"/>
  <c r="I49" i="30"/>
  <c r="H49" i="30"/>
  <c r="G49" i="30"/>
  <c r="F49" i="30"/>
  <c r="E49" i="30"/>
  <c r="D49" i="30"/>
  <c r="C49" i="30"/>
  <c r="D52" i="30"/>
  <c r="E52" i="30" s="1"/>
  <c r="D51" i="30"/>
  <c r="D45" i="30"/>
  <c r="E45" i="30" s="1"/>
  <c r="D38" i="30"/>
  <c r="E38" i="30" s="1"/>
  <c r="F38" i="30" s="1"/>
  <c r="D31" i="30"/>
  <c r="C24" i="30"/>
  <c r="D24" i="30" s="1"/>
  <c r="D17" i="30"/>
  <c r="C7" i="30"/>
  <c r="D10" i="30"/>
  <c r="E10" i="30" s="1"/>
  <c r="K7" i="30"/>
  <c r="J7" i="30"/>
  <c r="I7" i="30"/>
  <c r="H7" i="30"/>
  <c r="G7" i="30"/>
  <c r="F7" i="30"/>
  <c r="E7" i="30"/>
  <c r="D7" i="30"/>
  <c r="E9" i="59"/>
  <c r="E8" i="59"/>
  <c r="E7" i="59"/>
  <c r="E6" i="59"/>
  <c r="E5" i="59"/>
  <c r="E4" i="59"/>
  <c r="F52" i="30" l="1"/>
  <c r="G52" i="30" s="1"/>
  <c r="H52" i="30" s="1"/>
  <c r="I52" i="30" s="1"/>
  <c r="J52" i="30" s="1"/>
  <c r="E51" i="30"/>
  <c r="F45" i="30"/>
  <c r="G38" i="30"/>
  <c r="E31" i="30"/>
  <c r="F31" i="30" s="1"/>
  <c r="G31" i="30" s="1"/>
  <c r="H31" i="30" s="1"/>
  <c r="I31" i="30" s="1"/>
  <c r="E24" i="30"/>
  <c r="F24" i="30" s="1"/>
  <c r="G24" i="30" s="1"/>
  <c r="H24" i="30" s="1"/>
  <c r="I24" i="30"/>
  <c r="E17" i="30"/>
  <c r="D9" i="30"/>
  <c r="F10" i="30"/>
  <c r="E9" i="30"/>
  <c r="D10" i="59"/>
  <c r="C10" i="59"/>
  <c r="E10" i="59" s="1"/>
  <c r="F51" i="30" l="1"/>
  <c r="K52" i="30"/>
  <c r="K51" i="30" s="1"/>
  <c r="J51" i="30"/>
  <c r="I51" i="30"/>
  <c r="H51" i="30"/>
  <c r="G51" i="30"/>
  <c r="G45" i="30"/>
  <c r="H38" i="30"/>
  <c r="J31" i="30"/>
  <c r="J24" i="30"/>
  <c r="F17" i="30"/>
  <c r="G10" i="30"/>
  <c r="F9" i="30"/>
  <c r="O39" i="36"/>
  <c r="N39" i="36"/>
  <c r="M39" i="36"/>
  <c r="L39" i="36"/>
  <c r="K39" i="36"/>
  <c r="J39" i="36"/>
  <c r="I39" i="36"/>
  <c r="H39" i="36"/>
  <c r="G39" i="36"/>
  <c r="O72" i="36"/>
  <c r="N72" i="36"/>
  <c r="M72" i="36"/>
  <c r="L72" i="36"/>
  <c r="K72" i="36"/>
  <c r="J72" i="36"/>
  <c r="I72" i="36"/>
  <c r="H72" i="36"/>
  <c r="G72" i="36"/>
  <c r="E10" i="58"/>
  <c r="C10" i="58"/>
  <c r="H45" i="30" l="1"/>
  <c r="I38" i="30"/>
  <c r="K31" i="30"/>
  <c r="K24" i="30"/>
  <c r="G17" i="30"/>
  <c r="H10" i="30"/>
  <c r="G9" i="30"/>
  <c r="Q91" i="36"/>
  <c r="I45" i="30" l="1"/>
  <c r="J38" i="30"/>
  <c r="H17" i="30"/>
  <c r="I10" i="30"/>
  <c r="H9" i="30"/>
  <c r="J45" i="30" l="1"/>
  <c r="K38" i="30"/>
  <c r="I17" i="30"/>
  <c r="J10" i="30"/>
  <c r="I9" i="30"/>
  <c r="C185" i="12"/>
  <c r="AJ6" i="54"/>
  <c r="AI6" i="54"/>
  <c r="AH6" i="54"/>
  <c r="AG6" i="54"/>
  <c r="AF6" i="54"/>
  <c r="AE6" i="54"/>
  <c r="AD6" i="54"/>
  <c r="AC6" i="54"/>
  <c r="AB6" i="54"/>
  <c r="AA6" i="54"/>
  <c r="Z6" i="54"/>
  <c r="Y6" i="54"/>
  <c r="X6" i="54"/>
  <c r="W6" i="54"/>
  <c r="V6" i="54"/>
  <c r="U6" i="54"/>
  <c r="T6" i="54"/>
  <c r="S6" i="54"/>
  <c r="R6" i="54"/>
  <c r="Q6" i="54"/>
  <c r="P6" i="54"/>
  <c r="O6" i="54"/>
  <c r="N6" i="54"/>
  <c r="M6" i="54"/>
  <c r="L6" i="54"/>
  <c r="K6" i="54"/>
  <c r="J6" i="54"/>
  <c r="I6" i="54"/>
  <c r="H6" i="54"/>
  <c r="G6" i="54"/>
  <c r="F6" i="54"/>
  <c r="E6" i="54"/>
  <c r="D6" i="54"/>
  <c r="AV17" i="1"/>
  <c r="AK17" i="1"/>
  <c r="Z17" i="1"/>
  <c r="O17" i="1"/>
  <c r="D17" i="1"/>
  <c r="K45" i="30" l="1"/>
  <c r="J17" i="30"/>
  <c r="K10" i="30"/>
  <c r="K9" i="30" s="1"/>
  <c r="J9" i="30"/>
  <c r="K17" i="30" l="1"/>
  <c r="AV19" i="1"/>
  <c r="AK19" i="1"/>
  <c r="Z19" i="1"/>
  <c r="O19" i="1"/>
  <c r="D19" i="1"/>
  <c r="D18" i="1"/>
  <c r="D57" i="1"/>
  <c r="F72" i="36"/>
  <c r="F217" i="36"/>
  <c r="F216" i="36"/>
  <c r="F214" i="36"/>
  <c r="F213" i="36"/>
  <c r="F225" i="36"/>
  <c r="C189" i="12" l="1"/>
  <c r="F20" i="35" l="1"/>
  <c r="G20" i="35" s="1"/>
  <c r="H20" i="35" s="1"/>
  <c r="I20" i="35" s="1"/>
  <c r="J20" i="35" s="1"/>
  <c r="K20" i="35" s="1"/>
  <c r="L20" i="35" s="1"/>
  <c r="M20" i="35" s="1"/>
  <c r="N20" i="35" s="1"/>
  <c r="F165" i="28" l="1"/>
  <c r="F163" i="28"/>
  <c r="F157" i="28"/>
  <c r="B17" i="1"/>
  <c r="M18" i="27" l="1"/>
  <c r="CL19" i="27"/>
  <c r="AU18" i="27" l="1"/>
  <c r="AV18" i="27" s="1"/>
  <c r="AW18" i="27" s="1"/>
  <c r="AX18" i="27" s="1"/>
  <c r="AY18" i="27" s="1"/>
  <c r="AZ18" i="27" s="1"/>
  <c r="E164" i="28"/>
  <c r="F164" i="28" s="1"/>
  <c r="E162" i="28"/>
  <c r="F162" i="28" s="1"/>
  <c r="E161" i="28"/>
  <c r="F161" i="28" s="1"/>
  <c r="E160" i="28"/>
  <c r="F160" i="28" s="1"/>
  <c r="E159" i="28"/>
  <c r="F159" i="28" s="1"/>
  <c r="E158" i="28"/>
  <c r="F158" i="28" s="1"/>
  <c r="E156" i="28"/>
  <c r="F156" i="28" s="1"/>
  <c r="E155" i="28"/>
  <c r="F155" i="28" s="1"/>
  <c r="E154" i="28"/>
  <c r="F154" i="28" s="1"/>
  <c r="E153" i="28"/>
  <c r="F153" i="28" s="1"/>
  <c r="E261" i="28" l="1"/>
  <c r="E266" i="28" s="1"/>
  <c r="E262" i="28"/>
  <c r="E267" i="28" s="1"/>
  <c r="C68" i="12"/>
  <c r="C36" i="12"/>
  <c r="L20" i="7"/>
  <c r="K20" i="7"/>
  <c r="J20" i="7"/>
  <c r="I20" i="7"/>
  <c r="H20" i="7"/>
  <c r="L19" i="7"/>
  <c r="K19" i="7"/>
  <c r="J19" i="7"/>
  <c r="I19" i="7"/>
  <c r="H19" i="7"/>
  <c r="L18" i="7"/>
  <c r="K18" i="7"/>
  <c r="J18" i="7"/>
  <c r="I18" i="7"/>
  <c r="H18" i="7"/>
  <c r="L17" i="7"/>
  <c r="K17" i="7"/>
  <c r="J17" i="7"/>
  <c r="I17" i="7"/>
  <c r="H17" i="7"/>
  <c r="L6" i="7"/>
  <c r="K6" i="7"/>
  <c r="J6" i="7"/>
  <c r="I6" i="7"/>
  <c r="H6" i="7"/>
  <c r="E21" i="56"/>
  <c r="E23" i="56" s="1"/>
  <c r="E22" i="56" l="1"/>
  <c r="E13" i="56"/>
  <c r="E5" i="56"/>
  <c r="E6" i="56" s="1"/>
  <c r="F3" i="56"/>
  <c r="F5" i="56" s="1"/>
  <c r="E7" i="56" l="1"/>
  <c r="E14" i="56"/>
  <c r="E15" i="56"/>
  <c r="F13" i="56"/>
  <c r="F15" i="56" s="1"/>
  <c r="F7" i="56"/>
  <c r="F6" i="56"/>
  <c r="G3" i="56"/>
  <c r="F21" i="56"/>
  <c r="F23" i="56" s="1"/>
  <c r="F14" i="56" l="1"/>
  <c r="F22" i="56"/>
  <c r="H3" i="56"/>
  <c r="G21" i="56"/>
  <c r="G22" i="56" s="1"/>
  <c r="G5" i="56"/>
  <c r="G7" i="56" s="1"/>
  <c r="G13" i="56"/>
  <c r="G15" i="56" s="1"/>
  <c r="G23" i="56" l="1"/>
  <c r="G6" i="56"/>
  <c r="G14" i="56"/>
  <c r="I3" i="56"/>
  <c r="H21" i="56"/>
  <c r="H22" i="56" s="1"/>
  <c r="H5" i="56"/>
  <c r="H6" i="56" s="1"/>
  <c r="H13" i="56"/>
  <c r="H15" i="56" s="1"/>
  <c r="H7" i="56" l="1"/>
  <c r="H23" i="56"/>
  <c r="H14" i="56"/>
  <c r="J3" i="56"/>
  <c r="I21" i="56"/>
  <c r="I22" i="56" s="1"/>
  <c r="I13" i="56"/>
  <c r="I14" i="56" s="1"/>
  <c r="I5" i="56"/>
  <c r="I6" i="56" s="1"/>
  <c r="I15" i="56" l="1"/>
  <c r="I23" i="56"/>
  <c r="I7" i="56"/>
  <c r="K3" i="56"/>
  <c r="J21" i="56"/>
  <c r="J22" i="56" s="1"/>
  <c r="J13" i="56"/>
  <c r="J15" i="56" s="1"/>
  <c r="J5" i="56"/>
  <c r="J7" i="56" s="1"/>
  <c r="J23" i="56" l="1"/>
  <c r="J14" i="56"/>
  <c r="J6" i="56"/>
  <c r="L3" i="56"/>
  <c r="K21" i="56"/>
  <c r="K22" i="56" s="1"/>
  <c r="K5" i="56"/>
  <c r="K7" i="56" s="1"/>
  <c r="K13" i="56"/>
  <c r="K15" i="56" s="1"/>
  <c r="K6" i="56" l="1"/>
  <c r="K23" i="56"/>
  <c r="K14" i="56"/>
  <c r="M3" i="56"/>
  <c r="L21" i="56"/>
  <c r="L22" i="56" s="1"/>
  <c r="L5" i="56"/>
  <c r="L6" i="56" s="1"/>
  <c r="L13" i="56"/>
  <c r="L14" i="56" s="1"/>
  <c r="L23" i="56" l="1"/>
  <c r="L7" i="56"/>
  <c r="L15" i="56"/>
  <c r="N3" i="56"/>
  <c r="M21" i="56"/>
  <c r="M22" i="56" s="1"/>
  <c r="M23" i="56"/>
  <c r="M13" i="56"/>
  <c r="M15" i="56" s="1"/>
  <c r="M5" i="56"/>
  <c r="M6" i="56" s="1"/>
  <c r="M7" i="56" l="1"/>
  <c r="M14" i="56"/>
  <c r="N21" i="56"/>
  <c r="N22" i="56" s="1"/>
  <c r="N13" i="56"/>
  <c r="N14" i="56" s="1"/>
  <c r="N5" i="56"/>
  <c r="N6" i="56" s="1"/>
  <c r="N23" i="56" l="1"/>
  <c r="N7" i="56"/>
  <c r="N15" i="56"/>
  <c r="BE59" i="1" l="1"/>
  <c r="BD59" i="1"/>
  <c r="BC59" i="1"/>
  <c r="BB59" i="1"/>
  <c r="BA59" i="1"/>
  <c r="AZ59" i="1"/>
  <c r="AY59" i="1"/>
  <c r="AX59" i="1"/>
  <c r="AW59" i="1"/>
  <c r="AV59" i="1"/>
  <c r="AT59" i="1"/>
  <c r="AS59" i="1"/>
  <c r="AR59" i="1"/>
  <c r="AQ59" i="1"/>
  <c r="AP59" i="1"/>
  <c r="AO59" i="1"/>
  <c r="AN59" i="1"/>
  <c r="AM59" i="1"/>
  <c r="AL59" i="1"/>
  <c r="AK59" i="1"/>
  <c r="O59" i="1"/>
  <c r="P59" i="1"/>
  <c r="Q59" i="1"/>
  <c r="R59" i="1"/>
  <c r="S59" i="1"/>
  <c r="T59" i="1"/>
  <c r="U59" i="1"/>
  <c r="V59" i="1"/>
  <c r="W59" i="1"/>
  <c r="X59" i="1"/>
  <c r="D60" i="1"/>
  <c r="O60" i="1" s="1"/>
  <c r="O57" i="1"/>
  <c r="D56" i="1"/>
  <c r="D58" i="1" s="1"/>
  <c r="AK58" i="1" s="1"/>
  <c r="AK56" i="1" l="1"/>
  <c r="O58" i="1"/>
  <c r="AV58" i="1"/>
  <c r="O56" i="1"/>
  <c r="AV56" i="1"/>
  <c r="AK60" i="1"/>
  <c r="AV60" i="1"/>
  <c r="AK57" i="1"/>
  <c r="AV57" i="1"/>
  <c r="D44" i="1"/>
  <c r="H28" i="1" l="1"/>
  <c r="H32" i="1" s="1"/>
  <c r="F95" i="12"/>
  <c r="E95" i="12"/>
  <c r="D95" i="12"/>
  <c r="C95" i="12"/>
  <c r="M55" i="43"/>
  <c r="L55" i="43"/>
  <c r="K55" i="43"/>
  <c r="J55" i="43"/>
  <c r="I55" i="43"/>
  <c r="H55" i="43"/>
  <c r="G55" i="43"/>
  <c r="F55" i="43"/>
  <c r="E55" i="43"/>
  <c r="CR50" i="42"/>
  <c r="CQ50" i="42"/>
  <c r="CP50" i="42"/>
  <c r="CO50" i="42"/>
  <c r="CN50" i="42"/>
  <c r="CM50" i="42"/>
  <c r="CL50" i="42"/>
  <c r="CK50" i="42"/>
  <c r="CJ50" i="42"/>
  <c r="M49" i="43"/>
  <c r="L49" i="43"/>
  <c r="K49" i="43"/>
  <c r="J49" i="43"/>
  <c r="I49" i="43"/>
  <c r="H49" i="43"/>
  <c r="G49" i="43"/>
  <c r="F49" i="43"/>
  <c r="E49" i="43"/>
  <c r="M48" i="43"/>
  <c r="L48" i="43"/>
  <c r="K48" i="43"/>
  <c r="J48" i="43"/>
  <c r="I48" i="43"/>
  <c r="H48" i="43"/>
  <c r="G48" i="43"/>
  <c r="F48" i="43"/>
  <c r="E48" i="43"/>
  <c r="M47" i="43"/>
  <c r="L47" i="43"/>
  <c r="K47" i="43"/>
  <c r="J47" i="43"/>
  <c r="I47" i="43"/>
  <c r="H47" i="43"/>
  <c r="G47" i="43"/>
  <c r="F47" i="43"/>
  <c r="E47" i="43"/>
  <c r="M46" i="43"/>
  <c r="L46" i="43"/>
  <c r="K46" i="43"/>
  <c r="J46" i="43"/>
  <c r="I46" i="43"/>
  <c r="H46" i="43"/>
  <c r="G46" i="43"/>
  <c r="F46" i="43"/>
  <c r="E46" i="43"/>
  <c r="M45" i="43"/>
  <c r="L45" i="43"/>
  <c r="K45" i="43"/>
  <c r="J45" i="43"/>
  <c r="I45" i="43"/>
  <c r="H45" i="43"/>
  <c r="G45" i="43"/>
  <c r="F45" i="43"/>
  <c r="E45" i="43"/>
  <c r="M44" i="43"/>
  <c r="L44" i="43"/>
  <c r="K44" i="43"/>
  <c r="J44" i="43"/>
  <c r="I44" i="43"/>
  <c r="H44" i="43"/>
  <c r="G44" i="43"/>
  <c r="F44" i="43"/>
  <c r="E44" i="43"/>
  <c r="M43" i="43"/>
  <c r="L43" i="43"/>
  <c r="K43" i="43"/>
  <c r="J43" i="43"/>
  <c r="I43" i="43"/>
  <c r="H43" i="43"/>
  <c r="G43" i="43"/>
  <c r="F43" i="43"/>
  <c r="E43" i="43"/>
  <c r="M42" i="43"/>
  <c r="L42" i="43"/>
  <c r="K42" i="43"/>
  <c r="J42" i="43"/>
  <c r="I42" i="43"/>
  <c r="H42" i="43"/>
  <c r="G42" i="43"/>
  <c r="F42" i="43"/>
  <c r="E42" i="43"/>
  <c r="M41" i="43"/>
  <c r="L41" i="43"/>
  <c r="K41" i="43"/>
  <c r="J41" i="43"/>
  <c r="I41" i="43"/>
  <c r="H41" i="43"/>
  <c r="G41" i="43"/>
  <c r="F41" i="43"/>
  <c r="E41" i="43"/>
  <c r="M40" i="43"/>
  <c r="L40" i="43"/>
  <c r="K40" i="43"/>
  <c r="J40" i="43"/>
  <c r="I40" i="43"/>
  <c r="H40" i="43"/>
  <c r="G40" i="43"/>
  <c r="F40" i="43"/>
  <c r="E40" i="43"/>
  <c r="M39" i="43"/>
  <c r="L39" i="43"/>
  <c r="K39" i="43"/>
  <c r="J39" i="43"/>
  <c r="I39" i="43"/>
  <c r="H39" i="43"/>
  <c r="G39" i="43"/>
  <c r="F39" i="43"/>
  <c r="E39" i="43"/>
  <c r="M38" i="43"/>
  <c r="L38" i="43"/>
  <c r="K38" i="43"/>
  <c r="J38" i="43"/>
  <c r="I38" i="43"/>
  <c r="H38" i="43"/>
  <c r="G38" i="43"/>
  <c r="F38" i="43"/>
  <c r="E38" i="43"/>
  <c r="M37" i="43"/>
  <c r="L37" i="43"/>
  <c r="K37" i="43"/>
  <c r="J37" i="43"/>
  <c r="I37" i="43"/>
  <c r="H37" i="43"/>
  <c r="G37" i="43"/>
  <c r="F37" i="43"/>
  <c r="E37" i="43"/>
  <c r="M36" i="43"/>
  <c r="L36" i="43"/>
  <c r="K36" i="43"/>
  <c r="J36" i="43"/>
  <c r="I36" i="43"/>
  <c r="H36" i="43"/>
  <c r="G36" i="43"/>
  <c r="F36" i="43"/>
  <c r="E36" i="43"/>
  <c r="M35" i="43"/>
  <c r="L35" i="43"/>
  <c r="K35" i="43"/>
  <c r="J35" i="43"/>
  <c r="I35" i="43"/>
  <c r="H35" i="43"/>
  <c r="G35" i="43"/>
  <c r="F35" i="43"/>
  <c r="E35" i="43"/>
  <c r="M34" i="43"/>
  <c r="L34" i="43"/>
  <c r="K34" i="43"/>
  <c r="J34" i="43"/>
  <c r="I34" i="43"/>
  <c r="H34" i="43"/>
  <c r="G34" i="43"/>
  <c r="F34" i="43"/>
  <c r="E34" i="43"/>
  <c r="M33" i="43"/>
  <c r="L33" i="43"/>
  <c r="K33" i="43"/>
  <c r="J33" i="43"/>
  <c r="I33" i="43"/>
  <c r="H33" i="43"/>
  <c r="G33" i="43"/>
  <c r="F33" i="43"/>
  <c r="E33" i="43"/>
  <c r="M32" i="43"/>
  <c r="L32" i="43"/>
  <c r="K32" i="43"/>
  <c r="J32" i="43"/>
  <c r="I32" i="43"/>
  <c r="H32" i="43"/>
  <c r="G32" i="43"/>
  <c r="F32" i="43"/>
  <c r="E32" i="43"/>
  <c r="M31" i="43"/>
  <c r="L31" i="43"/>
  <c r="K31" i="43"/>
  <c r="J31" i="43"/>
  <c r="I31" i="43"/>
  <c r="H31" i="43"/>
  <c r="G31" i="43"/>
  <c r="F31" i="43"/>
  <c r="E31" i="43"/>
  <c r="M30" i="43"/>
  <c r="L30" i="43"/>
  <c r="K30" i="43"/>
  <c r="J30" i="43"/>
  <c r="I30" i="43"/>
  <c r="H30" i="43"/>
  <c r="G30" i="43"/>
  <c r="F30" i="43"/>
  <c r="E30" i="43"/>
  <c r="M29" i="43"/>
  <c r="L29" i="43"/>
  <c r="K29" i="43"/>
  <c r="J29" i="43"/>
  <c r="I29" i="43"/>
  <c r="H29" i="43"/>
  <c r="G29" i="43"/>
  <c r="F29" i="43"/>
  <c r="E29" i="43"/>
  <c r="M26" i="43"/>
  <c r="L26" i="43"/>
  <c r="K26" i="43"/>
  <c r="J26" i="43"/>
  <c r="I26" i="43"/>
  <c r="H26" i="43"/>
  <c r="G26" i="43"/>
  <c r="F26" i="43"/>
  <c r="E26" i="43"/>
  <c r="M25" i="43"/>
  <c r="L25" i="43"/>
  <c r="K25" i="43"/>
  <c r="J25" i="43"/>
  <c r="I25" i="43"/>
  <c r="H25" i="43"/>
  <c r="G25" i="43"/>
  <c r="F25" i="43"/>
  <c r="E25" i="43"/>
  <c r="M24" i="43"/>
  <c r="L24" i="43"/>
  <c r="K24" i="43"/>
  <c r="J24" i="43"/>
  <c r="I24" i="43"/>
  <c r="H24" i="43"/>
  <c r="G24" i="43"/>
  <c r="F24" i="43"/>
  <c r="E24" i="43"/>
  <c r="M23" i="43"/>
  <c r="L23" i="43"/>
  <c r="K23" i="43"/>
  <c r="J23" i="43"/>
  <c r="I23" i="43"/>
  <c r="H23" i="43"/>
  <c r="G23" i="43"/>
  <c r="F23" i="43"/>
  <c r="E23" i="43"/>
  <c r="M22" i="43"/>
  <c r="L22" i="43"/>
  <c r="K22" i="43"/>
  <c r="J22" i="43"/>
  <c r="I22" i="43"/>
  <c r="H22" i="43"/>
  <c r="G22" i="43"/>
  <c r="F22" i="43"/>
  <c r="E22" i="43"/>
  <c r="M21" i="43"/>
  <c r="L21" i="43"/>
  <c r="K21" i="43"/>
  <c r="J21" i="43"/>
  <c r="I21" i="43"/>
  <c r="H21" i="43"/>
  <c r="G21" i="43"/>
  <c r="F21" i="43"/>
  <c r="E21" i="43"/>
  <c r="M20" i="43"/>
  <c r="L20" i="43"/>
  <c r="K20" i="43"/>
  <c r="J20" i="43"/>
  <c r="I20" i="43"/>
  <c r="H20" i="43"/>
  <c r="G20" i="43"/>
  <c r="F20" i="43"/>
  <c r="E20" i="43"/>
  <c r="M19" i="43"/>
  <c r="L19" i="43"/>
  <c r="K19" i="43"/>
  <c r="J19" i="43"/>
  <c r="I19" i="43"/>
  <c r="H19" i="43"/>
  <c r="G19" i="43"/>
  <c r="F19" i="43"/>
  <c r="E19" i="43"/>
  <c r="M18" i="43"/>
  <c r="L18" i="43"/>
  <c r="K18" i="43"/>
  <c r="J18" i="43"/>
  <c r="I18" i="43"/>
  <c r="H18" i="43"/>
  <c r="G18" i="43"/>
  <c r="F18" i="43"/>
  <c r="E18" i="43"/>
  <c r="M17" i="43"/>
  <c r="L17" i="43"/>
  <c r="K17" i="43"/>
  <c r="J17" i="43"/>
  <c r="I17" i="43"/>
  <c r="H17" i="43"/>
  <c r="G17" i="43"/>
  <c r="F17" i="43"/>
  <c r="E17" i="43"/>
  <c r="M16" i="43"/>
  <c r="L16" i="43"/>
  <c r="K16" i="43"/>
  <c r="J16" i="43"/>
  <c r="I16" i="43"/>
  <c r="H16" i="43"/>
  <c r="G16" i="43"/>
  <c r="F16" i="43"/>
  <c r="E16" i="43"/>
  <c r="M15" i="43"/>
  <c r="L15" i="43"/>
  <c r="K15" i="43"/>
  <c r="J15" i="43"/>
  <c r="I15" i="43"/>
  <c r="H15" i="43"/>
  <c r="G15" i="43"/>
  <c r="F15" i="43"/>
  <c r="E15" i="43"/>
  <c r="M14" i="43"/>
  <c r="L14" i="43"/>
  <c r="K14" i="43"/>
  <c r="J14" i="43"/>
  <c r="I14" i="43"/>
  <c r="H14" i="43"/>
  <c r="G14" i="43"/>
  <c r="F14" i="43"/>
  <c r="E14" i="43"/>
  <c r="M13" i="43"/>
  <c r="L13" i="43"/>
  <c r="K13" i="43"/>
  <c r="J13" i="43"/>
  <c r="I13" i="43"/>
  <c r="H13" i="43"/>
  <c r="G13" i="43"/>
  <c r="F13" i="43"/>
  <c r="E13" i="43"/>
  <c r="M12" i="43"/>
  <c r="L12" i="43"/>
  <c r="K12" i="43"/>
  <c r="J12" i="43"/>
  <c r="I12" i="43"/>
  <c r="H12" i="43"/>
  <c r="G12" i="43"/>
  <c r="F12" i="43"/>
  <c r="E12" i="43"/>
  <c r="M11" i="43"/>
  <c r="L11" i="43"/>
  <c r="K11" i="43"/>
  <c r="J11" i="43"/>
  <c r="I11" i="43"/>
  <c r="H11" i="43"/>
  <c r="G11" i="43"/>
  <c r="F11" i="43"/>
  <c r="E11" i="43"/>
  <c r="M10" i="43"/>
  <c r="L10" i="43"/>
  <c r="K10" i="43"/>
  <c r="J10" i="43"/>
  <c r="I10" i="43"/>
  <c r="H10" i="43"/>
  <c r="G10" i="43"/>
  <c r="F10" i="43"/>
  <c r="E10" i="43"/>
  <c r="M9" i="43"/>
  <c r="L9" i="43"/>
  <c r="K9" i="43"/>
  <c r="J9" i="43"/>
  <c r="I9" i="43"/>
  <c r="H9" i="43"/>
  <c r="G9" i="43"/>
  <c r="F9" i="43"/>
  <c r="E9" i="43"/>
  <c r="M8" i="43"/>
  <c r="L8" i="43"/>
  <c r="K8" i="43"/>
  <c r="J8" i="43"/>
  <c r="I8" i="43"/>
  <c r="H8" i="43"/>
  <c r="G8" i="43"/>
  <c r="F8" i="43"/>
  <c r="E8" i="43"/>
  <c r="M7" i="43"/>
  <c r="L7" i="43"/>
  <c r="K7" i="43"/>
  <c r="J7" i="43"/>
  <c r="I7" i="43"/>
  <c r="H7" i="43"/>
  <c r="G7" i="43"/>
  <c r="F7" i="43"/>
  <c r="E7" i="43"/>
  <c r="M6" i="43"/>
  <c r="L6" i="43"/>
  <c r="K6" i="43"/>
  <c r="J6" i="43"/>
  <c r="I6" i="43"/>
  <c r="H6" i="43"/>
  <c r="G6" i="43"/>
  <c r="F6" i="43"/>
  <c r="E6" i="43"/>
  <c r="M28" i="17"/>
  <c r="L28" i="17"/>
  <c r="K28" i="17"/>
  <c r="J28" i="17"/>
  <c r="I28" i="17"/>
  <c r="H28" i="17"/>
  <c r="G28" i="17"/>
  <c r="F28" i="17"/>
  <c r="E28" i="17"/>
  <c r="M27" i="17"/>
  <c r="L27" i="17"/>
  <c r="K27" i="17"/>
  <c r="J27" i="17"/>
  <c r="I27" i="17"/>
  <c r="H27" i="17"/>
  <c r="G27" i="17"/>
  <c r="F27" i="17"/>
  <c r="E27" i="17"/>
  <c r="M26" i="17"/>
  <c r="L26" i="17"/>
  <c r="K26" i="17"/>
  <c r="J26" i="17"/>
  <c r="I26" i="17"/>
  <c r="H26" i="17"/>
  <c r="G26" i="17"/>
  <c r="F26" i="17"/>
  <c r="E26" i="17"/>
  <c r="M25" i="17"/>
  <c r="L25" i="17"/>
  <c r="K25" i="17"/>
  <c r="J25" i="17"/>
  <c r="I25" i="17"/>
  <c r="H25" i="17"/>
  <c r="G25" i="17"/>
  <c r="F25" i="17"/>
  <c r="E25" i="17"/>
  <c r="M24" i="17"/>
  <c r="L24" i="17"/>
  <c r="K24" i="17"/>
  <c r="J24" i="17"/>
  <c r="I24" i="17"/>
  <c r="H24" i="17"/>
  <c r="G24" i="17"/>
  <c r="F24" i="17"/>
  <c r="E24" i="17"/>
  <c r="M23" i="17"/>
  <c r="L23" i="17"/>
  <c r="K23" i="17"/>
  <c r="J23" i="17"/>
  <c r="I23" i="17"/>
  <c r="H23" i="17"/>
  <c r="G23" i="17"/>
  <c r="F23" i="17"/>
  <c r="E23" i="17"/>
  <c r="M22" i="17"/>
  <c r="L22" i="17"/>
  <c r="K22" i="17"/>
  <c r="J22" i="17"/>
  <c r="I22" i="17"/>
  <c r="H22" i="17"/>
  <c r="G22" i="17"/>
  <c r="F22" i="17"/>
  <c r="E22" i="17"/>
  <c r="L21" i="17"/>
  <c r="H21" i="17"/>
  <c r="G21" i="17"/>
  <c r="F21" i="17"/>
  <c r="E21" i="17"/>
  <c r="I20" i="17"/>
  <c r="H20" i="17"/>
  <c r="G20" i="17"/>
  <c r="F20" i="17"/>
  <c r="E20" i="17"/>
  <c r="H19" i="17"/>
  <c r="G19" i="17"/>
  <c r="F19" i="17"/>
  <c r="E19" i="17"/>
  <c r="H18" i="17"/>
  <c r="G18" i="17"/>
  <c r="F18" i="17"/>
  <c r="E18" i="17"/>
  <c r="L17" i="17"/>
  <c r="H17" i="17"/>
  <c r="G17" i="17"/>
  <c r="F17" i="17"/>
  <c r="E17" i="17"/>
  <c r="I16" i="17"/>
  <c r="H16" i="17"/>
  <c r="G16" i="17"/>
  <c r="F16" i="17"/>
  <c r="E16" i="17"/>
  <c r="H15" i="17"/>
  <c r="G15" i="17"/>
  <c r="F15" i="17"/>
  <c r="E15" i="17"/>
  <c r="H14" i="17"/>
  <c r="G14" i="17"/>
  <c r="F14" i="17"/>
  <c r="E14" i="17"/>
  <c r="H13" i="17"/>
  <c r="G13" i="17"/>
  <c r="F13" i="17"/>
  <c r="E13" i="17"/>
  <c r="I12" i="17"/>
  <c r="H12" i="17"/>
  <c r="G12" i="17"/>
  <c r="F12" i="17"/>
  <c r="E12" i="17"/>
  <c r="H11" i="17"/>
  <c r="G11" i="17"/>
  <c r="F11" i="17"/>
  <c r="E11" i="17"/>
  <c r="H10" i="17"/>
  <c r="G10" i="17"/>
  <c r="F10" i="17"/>
  <c r="E10" i="17"/>
  <c r="L9" i="17"/>
  <c r="H9" i="17"/>
  <c r="G9" i="17"/>
  <c r="F9" i="17"/>
  <c r="E9" i="17"/>
  <c r="I8" i="17"/>
  <c r="H8" i="17"/>
  <c r="G8" i="17"/>
  <c r="F8" i="17"/>
  <c r="E8" i="17"/>
  <c r="H7" i="17"/>
  <c r="G7" i="17"/>
  <c r="F7" i="17"/>
  <c r="E7" i="17"/>
  <c r="H6" i="17"/>
  <c r="G6" i="17"/>
  <c r="F6" i="17"/>
  <c r="E6" i="17"/>
  <c r="F37" i="7"/>
  <c r="E37" i="7"/>
  <c r="D37" i="7"/>
  <c r="F36" i="7"/>
  <c r="E36" i="7"/>
  <c r="D36" i="7"/>
  <c r="F35" i="7"/>
  <c r="E35" i="7"/>
  <c r="D35" i="7"/>
  <c r="D34" i="7"/>
  <c r="F31" i="7"/>
  <c r="E31" i="7"/>
  <c r="D31" i="7"/>
  <c r="F30" i="7"/>
  <c r="E30" i="7"/>
  <c r="D30" i="7"/>
  <c r="D29" i="7"/>
  <c r="F26" i="7"/>
  <c r="E26" i="7"/>
  <c r="D26" i="7"/>
  <c r="F25" i="7"/>
  <c r="E25" i="7"/>
  <c r="D25" i="7"/>
  <c r="F24" i="7"/>
  <c r="E24" i="7"/>
  <c r="D24" i="7"/>
  <c r="F23" i="7"/>
  <c r="E23" i="7"/>
  <c r="DA47" i="42"/>
  <c r="CZ47" i="42"/>
  <c r="CT47" i="42"/>
  <c r="CP47" i="42"/>
  <c r="EH47" i="42" s="1"/>
  <c r="CO47" i="42"/>
  <c r="EG47" i="42" s="1"/>
  <c r="CJ47" i="42"/>
  <c r="EB47" i="42" s="1"/>
  <c r="CI47" i="42"/>
  <c r="EA47" i="42" s="1"/>
  <c r="BV47" i="42"/>
  <c r="BU47" i="42"/>
  <c r="CQ47" i="42" s="1"/>
  <c r="EI47" i="42" s="1"/>
  <c r="BT47" i="42"/>
  <c r="BS47" i="42"/>
  <c r="BR47" i="42"/>
  <c r="CY47" i="42" s="1"/>
  <c r="BQ47" i="42"/>
  <c r="BP47" i="42"/>
  <c r="BO47" i="42"/>
  <c r="BN47" i="42"/>
  <c r="CU47" i="42" s="1"/>
  <c r="BM47" i="42"/>
  <c r="CW46" i="42"/>
  <c r="CR46" i="42"/>
  <c r="EJ46" i="42" s="1"/>
  <c r="CQ46" i="42"/>
  <c r="EI46" i="42" s="1"/>
  <c r="CO46" i="42"/>
  <c r="EG46" i="42" s="1"/>
  <c r="CL46" i="42"/>
  <c r="ED46" i="42" s="1"/>
  <c r="CK46" i="42"/>
  <c r="EC46" i="42" s="1"/>
  <c r="BV46" i="42"/>
  <c r="DC46" i="42" s="1"/>
  <c r="BU46" i="42"/>
  <c r="DB46" i="42" s="1"/>
  <c r="BT46" i="42"/>
  <c r="DA46" i="42" s="1"/>
  <c r="BS46" i="42"/>
  <c r="CZ46" i="42" s="1"/>
  <c r="BR46" i="42"/>
  <c r="BQ46" i="42"/>
  <c r="BP46" i="42"/>
  <c r="BO46" i="42"/>
  <c r="CV46" i="42" s="1"/>
  <c r="BN46" i="42"/>
  <c r="CJ46" i="42" s="1"/>
  <c r="EB46" i="42" s="1"/>
  <c r="BM46" i="42"/>
  <c r="CT46" i="42" s="1"/>
  <c r="CW45" i="42"/>
  <c r="CQ45" i="42"/>
  <c r="EI45" i="42" s="1"/>
  <c r="CN45" i="42"/>
  <c r="EF45" i="42" s="1"/>
  <c r="CL45" i="42"/>
  <c r="ED45" i="42" s="1"/>
  <c r="CK45" i="42"/>
  <c r="EC45" i="42" s="1"/>
  <c r="BV45" i="42"/>
  <c r="BU45" i="42"/>
  <c r="DB45" i="42" s="1"/>
  <c r="BT45" i="42"/>
  <c r="BS45" i="42"/>
  <c r="BR45" i="42"/>
  <c r="CY45" i="42" s="1"/>
  <c r="BQ45" i="42"/>
  <c r="CX45" i="42" s="1"/>
  <c r="BP45" i="42"/>
  <c r="BO45" i="42"/>
  <c r="CV45" i="42" s="1"/>
  <c r="BN45" i="42"/>
  <c r="CJ45" i="42" s="1"/>
  <c r="EB45" i="42" s="1"/>
  <c r="BM45" i="42"/>
  <c r="EH44" i="42"/>
  <c r="EG44" i="42"/>
  <c r="DB44" i="42"/>
  <c r="CU44" i="42"/>
  <c r="CP44" i="42"/>
  <c r="CO44" i="42"/>
  <c r="CL44" i="42"/>
  <c r="ED44" i="42" s="1"/>
  <c r="CJ44" i="42"/>
  <c r="EB44" i="42" s="1"/>
  <c r="CI44" i="42"/>
  <c r="EA44" i="42" s="1"/>
  <c r="BV44" i="42"/>
  <c r="BU44" i="42"/>
  <c r="CQ44" i="42" s="1"/>
  <c r="EI44" i="42" s="1"/>
  <c r="BT44" i="42"/>
  <c r="DA44" i="42" s="1"/>
  <c r="BS44" i="42"/>
  <c r="CZ44" i="42" s="1"/>
  <c r="BR44" i="42"/>
  <c r="CY44" i="42" s="1"/>
  <c r="BQ44" i="42"/>
  <c r="BP44" i="42"/>
  <c r="CW44" i="42" s="1"/>
  <c r="BO44" i="42"/>
  <c r="CK44" i="42" s="1"/>
  <c r="EC44" i="42" s="1"/>
  <c r="BN44" i="42"/>
  <c r="BM44" i="42"/>
  <c r="CT44" i="42" s="1"/>
  <c r="EJ43" i="42"/>
  <c r="EH43" i="42"/>
  <c r="CR43" i="42"/>
  <c r="CP43" i="42"/>
  <c r="CO43" i="42"/>
  <c r="EG43" i="42" s="1"/>
  <c r="CN43" i="42"/>
  <c r="EF43" i="42" s="1"/>
  <c r="CI43" i="42"/>
  <c r="EA43" i="42" s="1"/>
  <c r="BV43" i="42"/>
  <c r="DC43" i="42" s="1"/>
  <c r="BU43" i="42"/>
  <c r="DB43" i="42" s="1"/>
  <c r="BT43" i="42"/>
  <c r="DA43" i="42" s="1"/>
  <c r="BS43" i="42"/>
  <c r="CZ43" i="42" s="1"/>
  <c r="BR43" i="42"/>
  <c r="CY43" i="42" s="1"/>
  <c r="BQ43" i="42"/>
  <c r="BP43" i="42"/>
  <c r="BO43" i="42"/>
  <c r="CK43" i="42" s="1"/>
  <c r="EC43" i="42" s="1"/>
  <c r="BN43" i="42"/>
  <c r="CU43" i="42" s="1"/>
  <c r="BM43" i="42"/>
  <c r="CT43" i="42" s="1"/>
  <c r="EA42" i="42"/>
  <c r="CT42" i="42"/>
  <c r="CN42" i="42"/>
  <c r="EF42" i="42" s="1"/>
  <c r="CM42" i="42"/>
  <c r="EE42" i="42" s="1"/>
  <c r="BV42" i="42"/>
  <c r="DC42" i="42" s="1"/>
  <c r="BU42" i="42"/>
  <c r="BT42" i="42"/>
  <c r="BS42" i="42"/>
  <c r="CZ42" i="42" s="1"/>
  <c r="BR42" i="42"/>
  <c r="CY42" i="42" s="1"/>
  <c r="BQ42" i="42"/>
  <c r="CX42" i="42" s="1"/>
  <c r="BP42" i="42"/>
  <c r="BO42" i="42"/>
  <c r="BN42" i="42"/>
  <c r="BM42" i="42"/>
  <c r="CI42" i="42" s="1"/>
  <c r="ED41" i="42"/>
  <c r="EC41" i="42"/>
  <c r="EB41" i="42"/>
  <c r="DA41" i="42"/>
  <c r="CT41" i="42"/>
  <c r="CO41" i="42"/>
  <c r="EG41" i="42" s="1"/>
  <c r="CN41" i="42"/>
  <c r="EF41" i="42" s="1"/>
  <c r="CJ41" i="42"/>
  <c r="CI41" i="42"/>
  <c r="EA41" i="42" s="1"/>
  <c r="BV41" i="42"/>
  <c r="DC41" i="42" s="1"/>
  <c r="BU41" i="42"/>
  <c r="CQ41" i="42" s="1"/>
  <c r="EI41" i="42" s="1"/>
  <c r="BT41" i="42"/>
  <c r="CP41" i="42" s="1"/>
  <c r="EH41" i="42" s="1"/>
  <c r="BS41" i="42"/>
  <c r="CZ41" i="42" s="1"/>
  <c r="BR41" i="42"/>
  <c r="CY41" i="42" s="1"/>
  <c r="BQ41" i="42"/>
  <c r="CX41" i="42" s="1"/>
  <c r="BP41" i="42"/>
  <c r="CL41" i="42" s="1"/>
  <c r="BO41" i="42"/>
  <c r="CK41" i="42" s="1"/>
  <c r="BN41" i="42"/>
  <c r="CU41" i="42" s="1"/>
  <c r="BM41" i="42"/>
  <c r="CW40" i="42"/>
  <c r="CL40" i="42"/>
  <c r="ED40" i="42" s="1"/>
  <c r="CK40" i="42"/>
  <c r="EC40" i="42" s="1"/>
  <c r="CI40" i="42"/>
  <c r="EA40" i="42" s="1"/>
  <c r="BV40" i="42"/>
  <c r="BU40" i="42"/>
  <c r="DB40" i="42" s="1"/>
  <c r="BT40" i="42"/>
  <c r="DA40" i="42" s="1"/>
  <c r="BS40" i="42"/>
  <c r="CZ40" i="42" s="1"/>
  <c r="BR40" i="42"/>
  <c r="CN40" i="42" s="1"/>
  <c r="EF40" i="42" s="1"/>
  <c r="BQ40" i="42"/>
  <c r="BP40" i="42"/>
  <c r="BO40" i="42"/>
  <c r="CV40" i="42" s="1"/>
  <c r="BN40" i="42"/>
  <c r="CJ40" i="42" s="1"/>
  <c r="EB40" i="42" s="1"/>
  <c r="BM40" i="42"/>
  <c r="CT40" i="42" s="1"/>
  <c r="CV39" i="42"/>
  <c r="CU39" i="42"/>
  <c r="CR39" i="42"/>
  <c r="EJ39" i="42" s="1"/>
  <c r="CK39" i="42"/>
  <c r="EC39" i="42" s="1"/>
  <c r="CJ39" i="42"/>
  <c r="EB39" i="42" s="1"/>
  <c r="BV39" i="42"/>
  <c r="DC39" i="42" s="1"/>
  <c r="BU39" i="42"/>
  <c r="DB39" i="42" s="1"/>
  <c r="BT39" i="42"/>
  <c r="CP39" i="42" s="1"/>
  <c r="EH39" i="42" s="1"/>
  <c r="BS39" i="42"/>
  <c r="BR39" i="42"/>
  <c r="CN39" i="42" s="1"/>
  <c r="EF39" i="42" s="1"/>
  <c r="BQ39" i="42"/>
  <c r="CM39" i="42" s="1"/>
  <c r="EE39" i="42" s="1"/>
  <c r="BP39" i="42"/>
  <c r="BO39" i="42"/>
  <c r="BN39" i="42"/>
  <c r="BM39" i="42"/>
  <c r="EJ38" i="42"/>
  <c r="CV38" i="42"/>
  <c r="CU38" i="42"/>
  <c r="CP38" i="42"/>
  <c r="EH38" i="42" s="1"/>
  <c r="CO38" i="42"/>
  <c r="EG38" i="42" s="1"/>
  <c r="CK38" i="42"/>
  <c r="EC38" i="42" s="1"/>
  <c r="CJ38" i="42"/>
  <c r="EB38" i="42" s="1"/>
  <c r="BV38" i="42"/>
  <c r="CR38" i="42" s="1"/>
  <c r="BU38" i="42"/>
  <c r="CQ38" i="42" s="1"/>
  <c r="EI38" i="42" s="1"/>
  <c r="BT38" i="42"/>
  <c r="DA38" i="42" s="1"/>
  <c r="BS38" i="42"/>
  <c r="CZ38" i="42" s="1"/>
  <c r="BR38" i="42"/>
  <c r="BQ38" i="42"/>
  <c r="CX38" i="42" s="1"/>
  <c r="BP38" i="42"/>
  <c r="CW38" i="42" s="1"/>
  <c r="BO38" i="42"/>
  <c r="BN38" i="42"/>
  <c r="BM38" i="42"/>
  <c r="CI38" i="42" s="1"/>
  <c r="EA38" i="42" s="1"/>
  <c r="DC37" i="42"/>
  <c r="CZ37" i="42"/>
  <c r="CY37" i="42"/>
  <c r="CR37" i="42"/>
  <c r="EJ37" i="42" s="1"/>
  <c r="CQ37" i="42"/>
  <c r="EI37" i="42" s="1"/>
  <c r="CO37" i="42"/>
  <c r="EG37" i="42" s="1"/>
  <c r="BV37" i="42"/>
  <c r="BU37" i="42"/>
  <c r="DB37" i="42" s="1"/>
  <c r="BT37" i="42"/>
  <c r="CP37" i="42" s="1"/>
  <c r="EH37" i="42" s="1"/>
  <c r="BS37" i="42"/>
  <c r="BR37" i="42"/>
  <c r="CN37" i="42" s="1"/>
  <c r="EF37" i="42" s="1"/>
  <c r="BQ37" i="42"/>
  <c r="BP37" i="42"/>
  <c r="CW37" i="42" s="1"/>
  <c r="BO37" i="42"/>
  <c r="CK37" i="42" s="1"/>
  <c r="EC37" i="42" s="1"/>
  <c r="BN37" i="42"/>
  <c r="BM37" i="42"/>
  <c r="CT37" i="42" s="1"/>
  <c r="CP36" i="42"/>
  <c r="EH36" i="42" s="1"/>
  <c r="CO36" i="42"/>
  <c r="EG36" i="42" s="1"/>
  <c r="CN36" i="42"/>
  <c r="EF36" i="42" s="1"/>
  <c r="CK36" i="42"/>
  <c r="EC36" i="42" s="1"/>
  <c r="BV36" i="42"/>
  <c r="CR36" i="42" s="1"/>
  <c r="EJ36" i="42" s="1"/>
  <c r="BU36" i="42"/>
  <c r="DB36" i="42" s="1"/>
  <c r="BT36" i="42"/>
  <c r="DA36" i="42" s="1"/>
  <c r="BS36" i="42"/>
  <c r="CZ36" i="42" s="1"/>
  <c r="BR36" i="42"/>
  <c r="CY36" i="42" s="1"/>
  <c r="BQ36" i="42"/>
  <c r="CM36" i="42" s="1"/>
  <c r="EE36" i="42" s="1"/>
  <c r="BP36" i="42"/>
  <c r="BO36" i="42"/>
  <c r="CV36" i="42" s="1"/>
  <c r="BN36" i="42"/>
  <c r="BM36" i="42"/>
  <c r="CI36" i="42" s="1"/>
  <c r="EA36" i="42" s="1"/>
  <c r="DC35" i="42"/>
  <c r="CL35" i="42"/>
  <c r="CK35" i="42"/>
  <c r="BV35" i="42"/>
  <c r="CR35" i="42" s="1"/>
  <c r="BU35" i="42"/>
  <c r="DB35" i="42" s="1"/>
  <c r="BT35" i="42"/>
  <c r="DA35" i="42" s="1"/>
  <c r="BS35" i="42"/>
  <c r="CO35" i="42" s="1"/>
  <c r="BR35" i="42"/>
  <c r="CN35" i="42" s="1"/>
  <c r="BQ35" i="42"/>
  <c r="CM35" i="42" s="1"/>
  <c r="BP35" i="42"/>
  <c r="CW35" i="42" s="1"/>
  <c r="BO35" i="42"/>
  <c r="CV35" i="42" s="1"/>
  <c r="BN35" i="42"/>
  <c r="CU35" i="42" s="1"/>
  <c r="BM35" i="42"/>
  <c r="CX34" i="42"/>
  <c r="CQ34" i="42"/>
  <c r="CM34" i="42"/>
  <c r="CK34" i="42"/>
  <c r="BV34" i="42"/>
  <c r="CR34" i="42" s="1"/>
  <c r="BU34" i="42"/>
  <c r="DB34" i="42" s="1"/>
  <c r="BT34" i="42"/>
  <c r="CP34" i="42" s="1"/>
  <c r="BS34" i="42"/>
  <c r="BR34" i="42"/>
  <c r="CY34" i="42" s="1"/>
  <c r="BQ34" i="42"/>
  <c r="BP34" i="42"/>
  <c r="CL34" i="42" s="1"/>
  <c r="BO34" i="42"/>
  <c r="CV34" i="42" s="1"/>
  <c r="BN34" i="42"/>
  <c r="BM34" i="42"/>
  <c r="DA33" i="42"/>
  <c r="CY33" i="42"/>
  <c r="CQ33" i="42"/>
  <c r="CP33" i="42"/>
  <c r="CN33" i="42"/>
  <c r="BV33" i="42"/>
  <c r="BU33" i="42"/>
  <c r="DB33" i="42" s="1"/>
  <c r="BT33" i="42"/>
  <c r="BS33" i="42"/>
  <c r="CO33" i="42" s="1"/>
  <c r="BR33" i="42"/>
  <c r="BQ33" i="42"/>
  <c r="CM33" i="42" s="1"/>
  <c r="BP33" i="42"/>
  <c r="BO33" i="42"/>
  <c r="CV33" i="42" s="1"/>
  <c r="BN33" i="42"/>
  <c r="CU33" i="42" s="1"/>
  <c r="BM33" i="42"/>
  <c r="CU32" i="42"/>
  <c r="CP32" i="42"/>
  <c r="CO32" i="42"/>
  <c r="CM32" i="42"/>
  <c r="CL32" i="42"/>
  <c r="CK32" i="42"/>
  <c r="BV32" i="42"/>
  <c r="CR32" i="42" s="1"/>
  <c r="BU32" i="42"/>
  <c r="CQ32" i="42" s="1"/>
  <c r="BT32" i="42"/>
  <c r="DA32" i="42" s="1"/>
  <c r="BS32" i="42"/>
  <c r="CZ32" i="42" s="1"/>
  <c r="BR32" i="42"/>
  <c r="CY32" i="42" s="1"/>
  <c r="BQ32" i="42"/>
  <c r="CX32" i="42" s="1"/>
  <c r="BP32" i="42"/>
  <c r="CW32" i="42" s="1"/>
  <c r="BO32" i="42"/>
  <c r="CV32" i="42" s="1"/>
  <c r="BN32" i="42"/>
  <c r="CJ32" i="42" s="1"/>
  <c r="BM32" i="42"/>
  <c r="CI32" i="42" s="1"/>
  <c r="EA32" i="42" s="1"/>
  <c r="CZ31" i="42"/>
  <c r="CY31" i="42"/>
  <c r="CU31" i="42"/>
  <c r="CO31" i="42"/>
  <c r="CN31" i="42"/>
  <c r="CK31" i="42"/>
  <c r="BV31" i="42"/>
  <c r="DC31" i="42" s="1"/>
  <c r="BU31" i="42"/>
  <c r="CQ31" i="42" s="1"/>
  <c r="BT31" i="42"/>
  <c r="CP31" i="42" s="1"/>
  <c r="BS31" i="42"/>
  <c r="BR31" i="42"/>
  <c r="BQ31" i="42"/>
  <c r="CM31" i="42" s="1"/>
  <c r="BP31" i="42"/>
  <c r="CL31" i="42" s="1"/>
  <c r="BO31" i="42"/>
  <c r="CV31" i="42" s="1"/>
  <c r="BN31" i="42"/>
  <c r="CJ31" i="42" s="1"/>
  <c r="BM31" i="42"/>
  <c r="DA30" i="42"/>
  <c r="CU30" i="42"/>
  <c r="CN30" i="42"/>
  <c r="BV30" i="42"/>
  <c r="BU30" i="42"/>
  <c r="BT30" i="42"/>
  <c r="CP30" i="42" s="1"/>
  <c r="BS30" i="42"/>
  <c r="BR30" i="42"/>
  <c r="CY30" i="42" s="1"/>
  <c r="BQ30" i="42"/>
  <c r="CM30" i="42" s="1"/>
  <c r="BP30" i="42"/>
  <c r="CW30" i="42" s="1"/>
  <c r="BO30" i="42"/>
  <c r="CK30" i="42" s="1"/>
  <c r="BN30" i="42"/>
  <c r="CJ30" i="42" s="1"/>
  <c r="BM30" i="42"/>
  <c r="CX29" i="42"/>
  <c r="CQ29" i="42"/>
  <c r="CP29" i="42"/>
  <c r="CL29" i="42"/>
  <c r="CK29" i="42"/>
  <c r="CJ29" i="42"/>
  <c r="BV29" i="42"/>
  <c r="BU29" i="42"/>
  <c r="DB29" i="42" s="1"/>
  <c r="BT29" i="42"/>
  <c r="DA29" i="42" s="1"/>
  <c r="BS29" i="42"/>
  <c r="BR29" i="42"/>
  <c r="CN29" i="42" s="1"/>
  <c r="BQ29" i="42"/>
  <c r="CM29" i="42" s="1"/>
  <c r="BP29" i="42"/>
  <c r="CW29" i="42" s="1"/>
  <c r="BO29" i="42"/>
  <c r="CV29" i="42" s="1"/>
  <c r="BN29" i="42"/>
  <c r="CU29" i="42" s="1"/>
  <c r="BM29" i="42"/>
  <c r="CI29" i="42" s="1"/>
  <c r="EA29" i="42" s="1"/>
  <c r="CT28" i="42"/>
  <c r="CK28" i="42"/>
  <c r="BZ28" i="42"/>
  <c r="CA28" i="42" s="1"/>
  <c r="BY28" i="42"/>
  <c r="BX28" i="42"/>
  <c r="BQ28" i="42"/>
  <c r="BP28" i="42"/>
  <c r="BO28" i="42"/>
  <c r="BN28" i="42"/>
  <c r="BM28" i="42"/>
  <c r="BG28" i="42"/>
  <c r="BH28" i="42" s="1"/>
  <c r="BI28" i="42" s="1"/>
  <c r="BJ28" i="42" s="1"/>
  <c r="BK28" i="42" s="1"/>
  <c r="AW28" i="42"/>
  <c r="AX28" i="42" s="1"/>
  <c r="AY28" i="42" s="1"/>
  <c r="AZ28" i="42" s="1"/>
  <c r="AK28" i="42"/>
  <c r="H28" i="42"/>
  <c r="G28" i="42"/>
  <c r="F28" i="42"/>
  <c r="CU28" i="42" s="1"/>
  <c r="E28" i="42"/>
  <c r="D28" i="42"/>
  <c r="BZ27" i="42"/>
  <c r="CA27" i="42" s="1"/>
  <c r="BY27" i="42"/>
  <c r="CJ27" i="42" s="1"/>
  <c r="BX27" i="42"/>
  <c r="CI27" i="42" s="1"/>
  <c r="EA27" i="42" s="1"/>
  <c r="BQ27" i="42"/>
  <c r="BP27" i="42"/>
  <c r="BO27" i="42"/>
  <c r="BN27" i="42"/>
  <c r="CU27" i="42" s="1"/>
  <c r="BM27" i="42"/>
  <c r="BG27" i="42"/>
  <c r="BH27" i="42" s="1"/>
  <c r="BI27" i="42" s="1"/>
  <c r="BJ27" i="42" s="1"/>
  <c r="BK27" i="42" s="1"/>
  <c r="AW27" i="42"/>
  <c r="AX27" i="42" s="1"/>
  <c r="AY27" i="42" s="1"/>
  <c r="AZ27" i="42" s="1"/>
  <c r="AK27" i="42"/>
  <c r="AL27" i="42" s="1"/>
  <c r="AM27" i="42" s="1"/>
  <c r="H27" i="42"/>
  <c r="G27" i="42"/>
  <c r="F27" i="42"/>
  <c r="E27" i="42"/>
  <c r="D27" i="42"/>
  <c r="BZ26" i="42"/>
  <c r="BY26" i="42"/>
  <c r="BX26" i="42"/>
  <c r="BN26" i="42"/>
  <c r="CU26" i="42" s="1"/>
  <c r="BM26" i="42"/>
  <c r="BG26" i="42"/>
  <c r="BH26" i="42" s="1"/>
  <c r="BI26" i="42" s="1"/>
  <c r="BJ26" i="42" s="1"/>
  <c r="BK26" i="42" s="1"/>
  <c r="AM26" i="42"/>
  <c r="AN26" i="42" s="1"/>
  <c r="AO26" i="42" s="1"/>
  <c r="AK26" i="42"/>
  <c r="AL26" i="42" s="1"/>
  <c r="Z26" i="42"/>
  <c r="Q26" i="42"/>
  <c r="R26" i="42" s="1"/>
  <c r="S26" i="42" s="1"/>
  <c r="P26" i="42"/>
  <c r="H26" i="42"/>
  <c r="G26" i="42"/>
  <c r="F26" i="42"/>
  <c r="E26" i="42"/>
  <c r="D26" i="42"/>
  <c r="BZ25" i="42"/>
  <c r="BY25" i="42"/>
  <c r="CJ25" i="42" s="1"/>
  <c r="BX25" i="42"/>
  <c r="BN25" i="42"/>
  <c r="CU25" i="42" s="1"/>
  <c r="BM25" i="42"/>
  <c r="BG25" i="42"/>
  <c r="BH25" i="42" s="1"/>
  <c r="BI25" i="42" s="1"/>
  <c r="BJ25" i="42" s="1"/>
  <c r="BK25" i="42" s="1"/>
  <c r="AW25" i="42"/>
  <c r="AX25" i="42" s="1"/>
  <c r="AY25" i="42" s="1"/>
  <c r="AZ25" i="42" s="1"/>
  <c r="AV25" i="42"/>
  <c r="AV26" i="42" s="1"/>
  <c r="AW26" i="42" s="1"/>
  <c r="AX26" i="42" s="1"/>
  <c r="AY26" i="42" s="1"/>
  <c r="AZ26" i="42" s="1"/>
  <c r="AU25" i="42"/>
  <c r="BQ25" i="42" s="1"/>
  <c r="AT25" i="42"/>
  <c r="AS25" i="42"/>
  <c r="AK25" i="42"/>
  <c r="AL25" i="42" s="1"/>
  <c r="AM25" i="42" s="1"/>
  <c r="AN25" i="42" s="1"/>
  <c r="AO25" i="42" s="1"/>
  <c r="AC25" i="42"/>
  <c r="AD25" i="42" s="1"/>
  <c r="Z25" i="42"/>
  <c r="AA25" i="42" s="1"/>
  <c r="AB25" i="42" s="1"/>
  <c r="P25" i="42"/>
  <c r="H25" i="42"/>
  <c r="G25" i="42"/>
  <c r="F25" i="42"/>
  <c r="E25" i="42"/>
  <c r="CX25" i="42" s="1"/>
  <c r="D25" i="42"/>
  <c r="CL24" i="42"/>
  <c r="CC24" i="42"/>
  <c r="CD24" i="42" s="1"/>
  <c r="BZ24" i="42"/>
  <c r="CA24" i="42" s="1"/>
  <c r="CB24" i="42" s="1"/>
  <c r="BY24" i="42"/>
  <c r="BX24" i="42"/>
  <c r="BQ24" i="42"/>
  <c r="CM24" i="42" s="1"/>
  <c r="BP24" i="42"/>
  <c r="CW24" i="42" s="1"/>
  <c r="BO24" i="42"/>
  <c r="BN24" i="42"/>
  <c r="BM24" i="42"/>
  <c r="CT24" i="42" s="1"/>
  <c r="BG24" i="42"/>
  <c r="BH24" i="42" s="1"/>
  <c r="BI24" i="42" s="1"/>
  <c r="BJ24" i="42" s="1"/>
  <c r="BK24" i="42" s="1"/>
  <c r="AW24" i="42"/>
  <c r="AX24" i="42" s="1"/>
  <c r="AY24" i="42" s="1"/>
  <c r="AZ24" i="42" s="1"/>
  <c r="AK24" i="42"/>
  <c r="AL24" i="42" s="1"/>
  <c r="AM24" i="42" s="1"/>
  <c r="AN24" i="42" s="1"/>
  <c r="AO24" i="42" s="1"/>
  <c r="Z24" i="42"/>
  <c r="H24" i="42"/>
  <c r="G24" i="42"/>
  <c r="F24" i="42"/>
  <c r="E24" i="42"/>
  <c r="D24" i="42"/>
  <c r="CU23" i="42"/>
  <c r="CM23" i="42"/>
  <c r="BZ23" i="42"/>
  <c r="CA23" i="42" s="1"/>
  <c r="CB23" i="42" s="1"/>
  <c r="CC23" i="42" s="1"/>
  <c r="BY23" i="42"/>
  <c r="BX23" i="42"/>
  <c r="BN23" i="42"/>
  <c r="CJ23" i="42" s="1"/>
  <c r="BM23" i="42"/>
  <c r="CI23" i="42" s="1"/>
  <c r="EA23" i="42" s="1"/>
  <c r="BI23" i="42"/>
  <c r="BJ23" i="42" s="1"/>
  <c r="BK23" i="42" s="1"/>
  <c r="BH23" i="42"/>
  <c r="BG23" i="42"/>
  <c r="AV23" i="42"/>
  <c r="AW23" i="42" s="1"/>
  <c r="AX23" i="42" s="1"/>
  <c r="AY23" i="42" s="1"/>
  <c r="AZ23" i="42" s="1"/>
  <c r="AU23" i="42"/>
  <c r="BQ23" i="42" s="1"/>
  <c r="CX23" i="42" s="1"/>
  <c r="AT23" i="42"/>
  <c r="BP23" i="42" s="1"/>
  <c r="CW23" i="42" s="1"/>
  <c r="AS23" i="42"/>
  <c r="BO23" i="42" s="1"/>
  <c r="AK23" i="42"/>
  <c r="AL23" i="42" s="1"/>
  <c r="AM23" i="42" s="1"/>
  <c r="AN23" i="42" s="1"/>
  <c r="AO23" i="42" s="1"/>
  <c r="Z23" i="42"/>
  <c r="AA23" i="42" s="1"/>
  <c r="AB23" i="42" s="1"/>
  <c r="AC23" i="42" s="1"/>
  <c r="AD23" i="42" s="1"/>
  <c r="O23" i="42"/>
  <c r="H23" i="42"/>
  <c r="G23" i="42"/>
  <c r="F23" i="42"/>
  <c r="E23" i="42"/>
  <c r="D23" i="42"/>
  <c r="CX22" i="42"/>
  <c r="CW22" i="42"/>
  <c r="BZ22" i="42"/>
  <c r="CA22" i="42" s="1"/>
  <c r="CL22" i="42" s="1"/>
  <c r="BY22" i="42"/>
  <c r="BX22" i="42"/>
  <c r="CI22" i="42" s="1"/>
  <c r="EA22" i="42" s="1"/>
  <c r="BQ22" i="42"/>
  <c r="BP22" i="42"/>
  <c r="BO22" i="42"/>
  <c r="CK22" i="42" s="1"/>
  <c r="BN22" i="42"/>
  <c r="BM22" i="42"/>
  <c r="BH22" i="42"/>
  <c r="BI22" i="42" s="1"/>
  <c r="BJ22" i="42" s="1"/>
  <c r="BK22" i="42" s="1"/>
  <c r="BG22" i="42"/>
  <c r="AW22" i="42"/>
  <c r="AX22" i="42" s="1"/>
  <c r="AY22" i="42" s="1"/>
  <c r="AZ22" i="42" s="1"/>
  <c r="AK22" i="42"/>
  <c r="AL22" i="42" s="1"/>
  <c r="AM22" i="42" s="1"/>
  <c r="AN22" i="42" s="1"/>
  <c r="AO22" i="42" s="1"/>
  <c r="Z22" i="42"/>
  <c r="AA22" i="42" s="1"/>
  <c r="AB22" i="42" s="1"/>
  <c r="AC22" i="42" s="1"/>
  <c r="AD22" i="42" s="1"/>
  <c r="O22" i="42"/>
  <c r="P22" i="42" s="1"/>
  <c r="Q22" i="42" s="1"/>
  <c r="H22" i="42"/>
  <c r="G22" i="42"/>
  <c r="F22" i="42"/>
  <c r="E22" i="42"/>
  <c r="D22" i="42"/>
  <c r="CM21" i="42"/>
  <c r="BQ21" i="42"/>
  <c r="BP21" i="42"/>
  <c r="CL21" i="42" s="1"/>
  <c r="BO21" i="42"/>
  <c r="CV21" i="42" s="1"/>
  <c r="BN21" i="42"/>
  <c r="BM21" i="42"/>
  <c r="BG21" i="42"/>
  <c r="BH21" i="42" s="1"/>
  <c r="BI21" i="42" s="1"/>
  <c r="BJ21" i="42" s="1"/>
  <c r="BK21" i="42" s="1"/>
  <c r="AW21" i="42"/>
  <c r="AX21" i="42" s="1"/>
  <c r="AY21" i="42" s="1"/>
  <c r="AZ21" i="42" s="1"/>
  <c r="AK21" i="42"/>
  <c r="H21" i="42"/>
  <c r="G21" i="42"/>
  <c r="CX21" i="42" s="1"/>
  <c r="F21" i="42"/>
  <c r="E21" i="42"/>
  <c r="D21" i="42"/>
  <c r="EA20" i="42"/>
  <c r="CL20" i="42"/>
  <c r="BQ20" i="42"/>
  <c r="BP20" i="42"/>
  <c r="BO20" i="42"/>
  <c r="BN20" i="42"/>
  <c r="BM20" i="42"/>
  <c r="CI20" i="42" s="1"/>
  <c r="BG20" i="42"/>
  <c r="AY20" i="42"/>
  <c r="AZ20" i="42" s="1"/>
  <c r="AX20" i="42"/>
  <c r="AW20" i="42"/>
  <c r="AK20" i="42"/>
  <c r="AL20" i="42" s="1"/>
  <c r="AM20" i="42" s="1"/>
  <c r="H20" i="42"/>
  <c r="G20" i="42"/>
  <c r="F20" i="42"/>
  <c r="E20" i="42"/>
  <c r="CT20" i="42" s="1"/>
  <c r="D20" i="42"/>
  <c r="CE19" i="42"/>
  <c r="CA19" i="42"/>
  <c r="CB19" i="42" s="1"/>
  <c r="CC19" i="42" s="1"/>
  <c r="CD19" i="42" s="1"/>
  <c r="BD19" i="42"/>
  <c r="BE19" i="42" s="1"/>
  <c r="BF19" i="42" s="1"/>
  <c r="BG19" i="42" s="1"/>
  <c r="BH19" i="42" s="1"/>
  <c r="BI19" i="42" s="1"/>
  <c r="BJ19" i="42" s="1"/>
  <c r="BK19" i="42" s="1"/>
  <c r="AV19" i="42"/>
  <c r="AW19" i="42" s="1"/>
  <c r="AX19" i="42" s="1"/>
  <c r="AY19" i="42" s="1"/>
  <c r="AZ19" i="42" s="1"/>
  <c r="AU19" i="42"/>
  <c r="AT19" i="42"/>
  <c r="AS19" i="42"/>
  <c r="AR19" i="42"/>
  <c r="BN19" i="42" s="1"/>
  <c r="AO19" i="42"/>
  <c r="AL19" i="42"/>
  <c r="AM19" i="42" s="1"/>
  <c r="AN19" i="42" s="1"/>
  <c r="AK19" i="42"/>
  <c r="Z19" i="42"/>
  <c r="AA19" i="42" s="1"/>
  <c r="AB19" i="42" s="1"/>
  <c r="AC19" i="42" s="1"/>
  <c r="AD19" i="42" s="1"/>
  <c r="T19" i="42"/>
  <c r="K19" i="42"/>
  <c r="J19" i="42"/>
  <c r="BM19" i="42" s="1"/>
  <c r="H19" i="42"/>
  <c r="G19" i="42"/>
  <c r="F19" i="42"/>
  <c r="E19" i="42"/>
  <c r="D19" i="42"/>
  <c r="CI18" i="42"/>
  <c r="EA18" i="42" s="1"/>
  <c r="CA18" i="42"/>
  <c r="BQ18" i="42"/>
  <c r="BG18" i="42"/>
  <c r="BH18" i="42" s="1"/>
  <c r="BI18" i="42" s="1"/>
  <c r="BJ18" i="42" s="1"/>
  <c r="BK18" i="42" s="1"/>
  <c r="AX18" i="42"/>
  <c r="AY18" i="42" s="1"/>
  <c r="AZ18" i="42" s="1"/>
  <c r="AW18" i="42"/>
  <c r="AK18" i="42"/>
  <c r="AL18" i="42" s="1"/>
  <c r="AM18" i="42" s="1"/>
  <c r="Z18" i="42"/>
  <c r="AA18" i="42" s="1"/>
  <c r="AB18" i="42" s="1"/>
  <c r="AC18" i="42" s="1"/>
  <c r="AD18" i="42" s="1"/>
  <c r="T18" i="42"/>
  <c r="N18" i="42"/>
  <c r="M18" i="42"/>
  <c r="BP18" i="42" s="1"/>
  <c r="CW18" i="42" s="1"/>
  <c r="L18" i="42"/>
  <c r="BO18" i="42" s="1"/>
  <c r="K18" i="42"/>
  <c r="BN18" i="42" s="1"/>
  <c r="CJ18" i="42" s="1"/>
  <c r="J18" i="42"/>
  <c r="BM18" i="42" s="1"/>
  <c r="H18" i="42"/>
  <c r="G18" i="42"/>
  <c r="F18" i="42"/>
  <c r="E18" i="42"/>
  <c r="D18" i="42"/>
  <c r="EA17" i="42"/>
  <c r="BQ17" i="42"/>
  <c r="CM17" i="42" s="1"/>
  <c r="BP17" i="42"/>
  <c r="BO17" i="42"/>
  <c r="BN17" i="42"/>
  <c r="CJ17" i="42" s="1"/>
  <c r="BM17" i="42"/>
  <c r="CI17" i="42" s="1"/>
  <c r="BG17" i="42"/>
  <c r="AW17" i="42"/>
  <c r="AX17" i="42" s="1"/>
  <c r="AY17" i="42" s="1"/>
  <c r="AZ17" i="42" s="1"/>
  <c r="AK17" i="42"/>
  <c r="AL17" i="42" s="1"/>
  <c r="H17" i="42"/>
  <c r="G17" i="42"/>
  <c r="F17" i="42"/>
  <c r="E17" i="42"/>
  <c r="CX17" i="42" s="1"/>
  <c r="D17" i="42"/>
  <c r="CT16" i="42"/>
  <c r="CA16" i="42"/>
  <c r="CB16" i="42" s="1"/>
  <c r="CC16" i="42" s="1"/>
  <c r="CD16" i="42" s="1"/>
  <c r="AV16" i="42"/>
  <c r="AW16" i="42" s="1"/>
  <c r="AX16" i="42" s="1"/>
  <c r="AY16" i="42" s="1"/>
  <c r="AZ16" i="42" s="1"/>
  <c r="AU16" i="42"/>
  <c r="AT16" i="42"/>
  <c r="AS16" i="42"/>
  <c r="AR16" i="42"/>
  <c r="AK16" i="42"/>
  <c r="AL16" i="42" s="1"/>
  <c r="AM16" i="42" s="1"/>
  <c r="AN16" i="42" s="1"/>
  <c r="AO16" i="42" s="1"/>
  <c r="AB16" i="42"/>
  <c r="AC16" i="42" s="1"/>
  <c r="AD16" i="42" s="1"/>
  <c r="Z16" i="42"/>
  <c r="AA16" i="42" s="1"/>
  <c r="T16" i="42"/>
  <c r="K16" i="42"/>
  <c r="J16" i="42"/>
  <c r="BM16" i="42" s="1"/>
  <c r="CI16" i="42" s="1"/>
  <c r="EA16" i="42" s="1"/>
  <c r="H16" i="42"/>
  <c r="G16" i="42"/>
  <c r="F16" i="42"/>
  <c r="E16" i="42"/>
  <c r="D16" i="42"/>
  <c r="CJ15" i="42"/>
  <c r="CB15" i="42"/>
  <c r="CC15" i="42" s="1"/>
  <c r="CA15" i="42"/>
  <c r="BF15" i="42"/>
  <c r="BE15" i="42"/>
  <c r="BD15" i="42"/>
  <c r="BC15" i="42"/>
  <c r="BC16" i="42" s="1"/>
  <c r="BD16" i="42" s="1"/>
  <c r="BE16" i="42" s="1"/>
  <c r="BF16" i="42" s="1"/>
  <c r="BG16" i="42" s="1"/>
  <c r="BH16" i="42" s="1"/>
  <c r="BI16" i="42" s="1"/>
  <c r="BJ16" i="42" s="1"/>
  <c r="BK16" i="42" s="1"/>
  <c r="AW15" i="42"/>
  <c r="AX15" i="42" s="1"/>
  <c r="AY15" i="42" s="1"/>
  <c r="AZ15" i="42" s="1"/>
  <c r="AK15" i="42"/>
  <c r="AL15" i="42" s="1"/>
  <c r="AM15" i="42" s="1"/>
  <c r="AN15" i="42" s="1"/>
  <c r="AO15" i="42" s="1"/>
  <c r="Z15" i="42"/>
  <c r="AA15" i="42" s="1"/>
  <c r="AB15" i="42" s="1"/>
  <c r="AC15" i="42" s="1"/>
  <c r="AD15" i="42" s="1"/>
  <c r="T15" i="42"/>
  <c r="M15" i="42"/>
  <c r="K15" i="42"/>
  <c r="BN15" i="42" s="1"/>
  <c r="J15" i="42"/>
  <c r="BM15" i="42" s="1"/>
  <c r="CI15" i="42" s="1"/>
  <c r="EA15" i="42" s="1"/>
  <c r="H15" i="42"/>
  <c r="G15" i="42"/>
  <c r="F15" i="42"/>
  <c r="E15" i="42"/>
  <c r="D15" i="42"/>
  <c r="CU14" i="42"/>
  <c r="CT14" i="42"/>
  <c r="CI14" i="42"/>
  <c r="EA14" i="42" s="1"/>
  <c r="BQ14" i="42"/>
  <c r="CX14" i="42" s="1"/>
  <c r="BP14" i="42"/>
  <c r="CW14" i="42" s="1"/>
  <c r="BO14" i="42"/>
  <c r="CK14" i="42" s="1"/>
  <c r="BN14" i="42"/>
  <c r="CJ14" i="42" s="1"/>
  <c r="BM14" i="42"/>
  <c r="BH14" i="42"/>
  <c r="BI14" i="42" s="1"/>
  <c r="BJ14" i="42" s="1"/>
  <c r="BK14" i="42" s="1"/>
  <c r="BG14" i="42"/>
  <c r="AW14" i="42"/>
  <c r="AX14" i="42" s="1"/>
  <c r="AY14" i="42" s="1"/>
  <c r="AZ14" i="42" s="1"/>
  <c r="AK14" i="42"/>
  <c r="AL14" i="42" s="1"/>
  <c r="CI13" i="42"/>
  <c r="EA13" i="42" s="1"/>
  <c r="BQ13" i="42"/>
  <c r="CM13" i="42" s="1"/>
  <c r="BP13" i="42"/>
  <c r="CL13" i="42" s="1"/>
  <c r="BO13" i="42"/>
  <c r="CV13" i="42" s="1"/>
  <c r="BN13" i="42"/>
  <c r="CU13" i="42" s="1"/>
  <c r="BM13" i="42"/>
  <c r="CT13" i="42" s="1"/>
  <c r="BG13" i="42"/>
  <c r="BH13" i="42" s="1"/>
  <c r="BI13" i="42" s="1"/>
  <c r="BJ13" i="42" s="1"/>
  <c r="BK13" i="42" s="1"/>
  <c r="AX13" i="42"/>
  <c r="AY13" i="42" s="1"/>
  <c r="AZ13" i="42" s="1"/>
  <c r="AW13" i="42"/>
  <c r="AK13" i="42"/>
  <c r="BR13" i="42" s="1"/>
  <c r="EA12" i="42"/>
  <c r="CA12" i="42"/>
  <c r="BM12" i="42"/>
  <c r="CI12" i="42" s="1"/>
  <c r="BE12" i="42"/>
  <c r="BF12" i="42" s="1"/>
  <c r="BG12" i="42" s="1"/>
  <c r="BH12" i="42" s="1"/>
  <c r="BI12" i="42" s="1"/>
  <c r="BJ12" i="42" s="1"/>
  <c r="BK12" i="42" s="1"/>
  <c r="BD12" i="42"/>
  <c r="AT12" i="42"/>
  <c r="AS12" i="42"/>
  <c r="BO12" i="42" s="1"/>
  <c r="AR12" i="42"/>
  <c r="BN12" i="42" s="1"/>
  <c r="CU12" i="42" s="1"/>
  <c r="AK12" i="42"/>
  <c r="AL12" i="42" s="1"/>
  <c r="AM12" i="42" s="1"/>
  <c r="AN12" i="42" s="1"/>
  <c r="AO12" i="42" s="1"/>
  <c r="AB12" i="42"/>
  <c r="AC12" i="42" s="1"/>
  <c r="AD12" i="42" s="1"/>
  <c r="AA12" i="42"/>
  <c r="Z12" i="42"/>
  <c r="N12" i="42"/>
  <c r="M12" i="42"/>
  <c r="M19" i="42" s="1"/>
  <c r="L12" i="42"/>
  <c r="L19" i="42" s="1"/>
  <c r="CB11" i="42"/>
  <c r="CC11" i="42" s="1"/>
  <c r="CD11" i="42" s="1"/>
  <c r="CA11" i="42"/>
  <c r="BO11" i="42"/>
  <c r="CK11" i="42" s="1"/>
  <c r="BN11" i="42"/>
  <c r="CJ11" i="42" s="1"/>
  <c r="BM11" i="42"/>
  <c r="BG11" i="42"/>
  <c r="BH11" i="42" s="1"/>
  <c r="BI11" i="42" s="1"/>
  <c r="BJ11" i="42" s="1"/>
  <c r="BK11" i="42" s="1"/>
  <c r="AL11" i="42"/>
  <c r="AM11" i="42" s="1"/>
  <c r="AN11" i="42" s="1"/>
  <c r="AO11" i="42" s="1"/>
  <c r="AK11" i="42"/>
  <c r="Z11" i="42"/>
  <c r="AA11" i="42" s="1"/>
  <c r="O11" i="42"/>
  <c r="O18" i="42" s="1"/>
  <c r="DV10" i="42"/>
  <c r="DV11" i="42" s="1"/>
  <c r="DU10" i="42"/>
  <c r="DU11" i="42" s="1"/>
  <c r="DU12" i="42" s="1"/>
  <c r="DU13" i="42" s="1"/>
  <c r="DU14" i="42" s="1"/>
  <c r="DU15" i="42" s="1"/>
  <c r="DU16" i="42" s="1"/>
  <c r="DU17" i="42" s="1"/>
  <c r="DU18" i="42" s="1"/>
  <c r="DU19" i="42" s="1"/>
  <c r="DU20" i="42" s="1"/>
  <c r="DU21" i="42" s="1"/>
  <c r="DU22" i="42" s="1"/>
  <c r="DU23" i="42" s="1"/>
  <c r="DU24" i="42" s="1"/>
  <c r="DU25" i="42" s="1"/>
  <c r="DU26" i="42" s="1"/>
  <c r="DU27" i="42" s="1"/>
  <c r="DU28" i="42" s="1"/>
  <c r="DU29" i="42" s="1"/>
  <c r="CT10" i="42"/>
  <c r="CI10" i="42"/>
  <c r="EA10" i="42" s="1"/>
  <c r="BQ10" i="42"/>
  <c r="CX10" i="42" s="1"/>
  <c r="BP10" i="42"/>
  <c r="CW10" i="42" s="1"/>
  <c r="BO10" i="42"/>
  <c r="BN10" i="42"/>
  <c r="CJ10" i="42" s="1"/>
  <c r="EB10" i="42" s="1"/>
  <c r="BM10" i="42"/>
  <c r="BG10" i="42"/>
  <c r="BH10" i="42" s="1"/>
  <c r="BI10" i="42" s="1"/>
  <c r="BJ10" i="42" s="1"/>
  <c r="BK10" i="42" s="1"/>
  <c r="AW10" i="42"/>
  <c r="AX10" i="42" s="1"/>
  <c r="AN10" i="42"/>
  <c r="AK10" i="42"/>
  <c r="AL10" i="42" s="1"/>
  <c r="AM10" i="42" s="1"/>
  <c r="DV9" i="42"/>
  <c r="DW9" i="42" s="1"/>
  <c r="DX9" i="42" s="1"/>
  <c r="DY9" i="42" s="1"/>
  <c r="DU9" i="42"/>
  <c r="DR9" i="42"/>
  <c r="DR10" i="42" s="1"/>
  <c r="DQ9" i="42"/>
  <c r="DQ10" i="42" s="1"/>
  <c r="DQ11" i="42" s="1"/>
  <c r="DQ12" i="42" s="1"/>
  <c r="DQ13" i="42" s="1"/>
  <c r="DQ14" i="42" s="1"/>
  <c r="DQ15" i="42" s="1"/>
  <c r="CT9" i="42"/>
  <c r="CA9" i="42"/>
  <c r="CB9" i="42" s="1"/>
  <c r="BN9" i="42"/>
  <c r="CU9" i="42" s="1"/>
  <c r="BM9" i="42"/>
  <c r="CI9" i="42" s="1"/>
  <c r="EA9" i="42" s="1"/>
  <c r="BD9" i="42"/>
  <c r="BE9" i="42" s="1"/>
  <c r="BF9" i="42" s="1"/>
  <c r="BG9" i="42" s="1"/>
  <c r="BH9" i="42" s="1"/>
  <c r="BI9" i="42" s="1"/>
  <c r="BJ9" i="42" s="1"/>
  <c r="BK9" i="42" s="1"/>
  <c r="AU9" i="42"/>
  <c r="AU11" i="42" s="1"/>
  <c r="BQ11" i="42" s="1"/>
  <c r="CX11" i="42" s="1"/>
  <c r="AT9" i="42"/>
  <c r="AS9" i="42"/>
  <c r="AR9" i="42"/>
  <c r="AK9" i="42"/>
  <c r="AL9" i="42" s="1"/>
  <c r="AM9" i="42" s="1"/>
  <c r="AN9" i="42" s="1"/>
  <c r="AO9" i="42" s="1"/>
  <c r="Z9" i="42"/>
  <c r="AA9" i="42" s="1"/>
  <c r="AB9" i="42" s="1"/>
  <c r="AC9" i="42" s="1"/>
  <c r="AD9" i="42" s="1"/>
  <c r="L9" i="42"/>
  <c r="L16" i="42" s="1"/>
  <c r="DY8" i="42"/>
  <c r="DX8" i="42"/>
  <c r="DW8" i="42"/>
  <c r="DS8" i="42"/>
  <c r="DT8" i="42" s="1"/>
  <c r="CW8" i="42"/>
  <c r="CA8" i="42"/>
  <c r="BP8" i="42"/>
  <c r="BN8" i="42"/>
  <c r="CJ8" i="42" s="1"/>
  <c r="BM8" i="42"/>
  <c r="CT8" i="42" s="1"/>
  <c r="BG8" i="42"/>
  <c r="BH8" i="42" s="1"/>
  <c r="BI8" i="42" s="1"/>
  <c r="BI15" i="42" s="1"/>
  <c r="AW8" i="42"/>
  <c r="AX8" i="42" s="1"/>
  <c r="AY8" i="42" s="1"/>
  <c r="AZ8" i="42" s="1"/>
  <c r="AV8" i="42"/>
  <c r="AV9" i="42" s="1"/>
  <c r="AK8" i="42"/>
  <c r="AL8" i="42" s="1"/>
  <c r="AM8" i="42" s="1"/>
  <c r="AN8" i="42" s="1"/>
  <c r="AO8" i="42" s="1"/>
  <c r="Z8" i="42"/>
  <c r="AA8" i="42" s="1"/>
  <c r="AB8" i="42" s="1"/>
  <c r="AC8" i="42" s="1"/>
  <c r="AD8" i="42" s="1"/>
  <c r="N8" i="42"/>
  <c r="N15" i="42" s="1"/>
  <c r="BQ15" i="42" s="1"/>
  <c r="L8" i="42"/>
  <c r="L15" i="42" s="1"/>
  <c r="BO15" i="42" s="1"/>
  <c r="CV15" i="42" s="1"/>
  <c r="EC5" i="42"/>
  <c r="ED5" i="42" s="1"/>
  <c r="EE5" i="42" s="1"/>
  <c r="EF5" i="42" s="1"/>
  <c r="EG5" i="42" s="1"/>
  <c r="EH5" i="42" s="1"/>
  <c r="EI5" i="42" s="1"/>
  <c r="EJ5" i="42" s="1"/>
  <c r="EB5" i="42"/>
  <c r="DQ5" i="42"/>
  <c r="DR5" i="42" s="1"/>
  <c r="DS5" i="42" s="1"/>
  <c r="DT5" i="42" s="1"/>
  <c r="DU5" i="42" s="1"/>
  <c r="DV5" i="42" s="1"/>
  <c r="DW5" i="42" s="1"/>
  <c r="DX5" i="42" s="1"/>
  <c r="DY5" i="42" s="1"/>
  <c r="DF5" i="42"/>
  <c r="DG5" i="42" s="1"/>
  <c r="DH5" i="42" s="1"/>
  <c r="DI5" i="42" s="1"/>
  <c r="DJ5" i="42" s="1"/>
  <c r="DK5" i="42" s="1"/>
  <c r="DL5" i="42" s="1"/>
  <c r="DM5" i="42" s="1"/>
  <c r="DN5" i="42" s="1"/>
  <c r="CU5" i="42"/>
  <c r="CV5" i="42" s="1"/>
  <c r="CW5" i="42" s="1"/>
  <c r="CX5" i="42" s="1"/>
  <c r="CY5" i="42" s="1"/>
  <c r="CZ5" i="42" s="1"/>
  <c r="DA5" i="42" s="1"/>
  <c r="DB5" i="42" s="1"/>
  <c r="DC5" i="42" s="1"/>
  <c r="CJ5" i="42"/>
  <c r="CK5" i="42" s="1"/>
  <c r="CL5" i="42" s="1"/>
  <c r="CM5" i="42" s="1"/>
  <c r="CN5" i="42" s="1"/>
  <c r="CO5" i="42" s="1"/>
  <c r="CP5" i="42" s="1"/>
  <c r="CQ5" i="42" s="1"/>
  <c r="CR5" i="42" s="1"/>
  <c r="BY5" i="42"/>
  <c r="BZ5" i="42" s="1"/>
  <c r="CA5" i="42" s="1"/>
  <c r="CB5" i="42" s="1"/>
  <c r="CC5" i="42" s="1"/>
  <c r="CD5" i="42" s="1"/>
  <c r="CE5" i="42" s="1"/>
  <c r="CF5" i="42" s="1"/>
  <c r="CG5" i="42" s="1"/>
  <c r="BN5" i="42"/>
  <c r="BO5" i="42" s="1"/>
  <c r="BP5" i="42" s="1"/>
  <c r="BQ5" i="42" s="1"/>
  <c r="BR5" i="42" s="1"/>
  <c r="BS5" i="42" s="1"/>
  <c r="BT5" i="42" s="1"/>
  <c r="BU5" i="42" s="1"/>
  <c r="BV5" i="42" s="1"/>
  <c r="BF5" i="42"/>
  <c r="BG5" i="42" s="1"/>
  <c r="BH5" i="42" s="1"/>
  <c r="BI5" i="42" s="1"/>
  <c r="BJ5" i="42" s="1"/>
  <c r="BK5" i="42" s="1"/>
  <c r="BE5" i="42"/>
  <c r="BD5" i="42"/>
  <c r="BC5" i="42"/>
  <c r="AR5" i="42"/>
  <c r="AS5" i="42" s="1"/>
  <c r="AT5" i="42" s="1"/>
  <c r="AU5" i="42" s="1"/>
  <c r="AV5" i="42" s="1"/>
  <c r="AW5" i="42" s="1"/>
  <c r="AX5" i="42" s="1"/>
  <c r="AY5" i="42" s="1"/>
  <c r="AZ5" i="42" s="1"/>
  <c r="AG5" i="42"/>
  <c r="AH5" i="42" s="1"/>
  <c r="AI5" i="42" s="1"/>
  <c r="AJ5" i="42" s="1"/>
  <c r="AK5" i="42" s="1"/>
  <c r="AL5" i="42" s="1"/>
  <c r="AM5" i="42" s="1"/>
  <c r="AN5" i="42" s="1"/>
  <c r="AO5" i="42" s="1"/>
  <c r="V5" i="42"/>
  <c r="W5" i="42" s="1"/>
  <c r="X5" i="42" s="1"/>
  <c r="Y5" i="42" s="1"/>
  <c r="Z5" i="42" s="1"/>
  <c r="AA5" i="42" s="1"/>
  <c r="AB5" i="42" s="1"/>
  <c r="AC5" i="42" s="1"/>
  <c r="AD5" i="42" s="1"/>
  <c r="M5" i="42"/>
  <c r="N5" i="42" s="1"/>
  <c r="O5" i="42" s="1"/>
  <c r="P5" i="42" s="1"/>
  <c r="Q5" i="42" s="1"/>
  <c r="R5" i="42" s="1"/>
  <c r="S5" i="42" s="1"/>
  <c r="L5" i="42"/>
  <c r="K5" i="42"/>
  <c r="FU43" i="34"/>
  <c r="FV43" i="34" s="1"/>
  <c r="FW43" i="34" s="1"/>
  <c r="FX43" i="34" s="1"/>
  <c r="FY43" i="34" s="1"/>
  <c r="FZ43" i="34" s="1"/>
  <c r="FT43" i="34"/>
  <c r="FS43" i="34"/>
  <c r="FR43" i="34"/>
  <c r="FQ43" i="34"/>
  <c r="EZ43" i="34"/>
  <c r="EY43" i="34"/>
  <c r="EX43" i="34"/>
  <c r="EW43" i="34"/>
  <c r="EV43" i="34"/>
  <c r="FU42" i="34"/>
  <c r="FV42" i="34" s="1"/>
  <c r="FW42" i="34" s="1"/>
  <c r="FX42" i="34" s="1"/>
  <c r="FY42" i="34" s="1"/>
  <c r="FZ42" i="34" s="1"/>
  <c r="FT42" i="34"/>
  <c r="FS42" i="34"/>
  <c r="FR42" i="34"/>
  <c r="FQ42" i="34"/>
  <c r="EZ42" i="34"/>
  <c r="EY42" i="34"/>
  <c r="EX42" i="34"/>
  <c r="EW42" i="34"/>
  <c r="EV42" i="34"/>
  <c r="FU41" i="34"/>
  <c r="FV41" i="34" s="1"/>
  <c r="FW41" i="34" s="1"/>
  <c r="FX41" i="34" s="1"/>
  <c r="FY41" i="34" s="1"/>
  <c r="FZ41" i="34" s="1"/>
  <c r="FT41" i="34"/>
  <c r="FS41" i="34"/>
  <c r="FR41" i="34"/>
  <c r="FQ41" i="34"/>
  <c r="EZ41" i="34"/>
  <c r="EY41" i="34"/>
  <c r="EX41" i="34"/>
  <c r="EW41" i="34"/>
  <c r="EV41" i="34"/>
  <c r="FV40" i="34"/>
  <c r="FW40" i="34" s="1"/>
  <c r="FX40" i="34" s="1"/>
  <c r="FY40" i="34" s="1"/>
  <c r="FZ40" i="34" s="1"/>
  <c r="FU40" i="34"/>
  <c r="FT40" i="34"/>
  <c r="FS40" i="34"/>
  <c r="FR40" i="34"/>
  <c r="FQ40" i="34"/>
  <c r="EZ40" i="34"/>
  <c r="EY40" i="34"/>
  <c r="EX40" i="34"/>
  <c r="EW40" i="34"/>
  <c r="EV40" i="34"/>
  <c r="FW39" i="34"/>
  <c r="FX39" i="34" s="1"/>
  <c r="FY39" i="34" s="1"/>
  <c r="FZ39" i="34" s="1"/>
  <c r="FV39" i="34"/>
  <c r="FU39" i="34"/>
  <c r="FT39" i="34"/>
  <c r="FS39" i="34"/>
  <c r="FR39" i="34"/>
  <c r="FQ39" i="34"/>
  <c r="EZ39" i="34"/>
  <c r="EY39" i="34"/>
  <c r="EX39" i="34"/>
  <c r="EW39" i="34"/>
  <c r="EV39" i="34"/>
  <c r="FU38" i="34"/>
  <c r="FV38" i="34" s="1"/>
  <c r="FW38" i="34" s="1"/>
  <c r="FX38" i="34" s="1"/>
  <c r="FY38" i="34" s="1"/>
  <c r="FZ38" i="34" s="1"/>
  <c r="FT38" i="34"/>
  <c r="FS38" i="34"/>
  <c r="FR38" i="34"/>
  <c r="FQ38" i="34"/>
  <c r="EZ38" i="34"/>
  <c r="EY38" i="34"/>
  <c r="EX38" i="34"/>
  <c r="EW38" i="34"/>
  <c r="EV38" i="34"/>
  <c r="FU37" i="34"/>
  <c r="FV37" i="34" s="1"/>
  <c r="FW37" i="34" s="1"/>
  <c r="FX37" i="34" s="1"/>
  <c r="FY37" i="34" s="1"/>
  <c r="FZ37" i="34" s="1"/>
  <c r="FT37" i="34"/>
  <c r="FS37" i="34"/>
  <c r="FR37" i="34"/>
  <c r="FQ37" i="34"/>
  <c r="EZ37" i="34"/>
  <c r="EY37" i="34"/>
  <c r="EX37" i="34"/>
  <c r="EW37" i="34"/>
  <c r="EV37" i="34"/>
  <c r="FV36" i="34"/>
  <c r="FW36" i="34" s="1"/>
  <c r="FX36" i="34" s="1"/>
  <c r="FY36" i="34" s="1"/>
  <c r="FZ36" i="34" s="1"/>
  <c r="FU36" i="34"/>
  <c r="FT36" i="34"/>
  <c r="FS36" i="34"/>
  <c r="FR36" i="34"/>
  <c r="FQ36" i="34"/>
  <c r="EZ36" i="34"/>
  <c r="EY36" i="34"/>
  <c r="EX36" i="34"/>
  <c r="EW36" i="34"/>
  <c r="EV36" i="34"/>
  <c r="FU35" i="34"/>
  <c r="FV35" i="34" s="1"/>
  <c r="FW35" i="34" s="1"/>
  <c r="FX35" i="34" s="1"/>
  <c r="FY35" i="34" s="1"/>
  <c r="FZ35" i="34" s="1"/>
  <c r="FT35" i="34"/>
  <c r="FS35" i="34"/>
  <c r="FR35" i="34"/>
  <c r="FQ35" i="34"/>
  <c r="EZ35" i="34"/>
  <c r="EY35" i="34"/>
  <c r="EX35" i="34"/>
  <c r="EW35" i="34"/>
  <c r="EV35" i="34"/>
  <c r="FX34" i="34"/>
  <c r="FY34" i="34" s="1"/>
  <c r="FZ34" i="34" s="1"/>
  <c r="FW34" i="34"/>
  <c r="FV34" i="34"/>
  <c r="FU34" i="34"/>
  <c r="FT34" i="34"/>
  <c r="FS34" i="34"/>
  <c r="FR34" i="34"/>
  <c r="FQ34" i="34"/>
  <c r="EZ34" i="34"/>
  <c r="EY34" i="34"/>
  <c r="EX34" i="34"/>
  <c r="EW34" i="34"/>
  <c r="EV34" i="34"/>
  <c r="FU33" i="34"/>
  <c r="FV33" i="34" s="1"/>
  <c r="FW33" i="34" s="1"/>
  <c r="FX33" i="34" s="1"/>
  <c r="FY33" i="34" s="1"/>
  <c r="FZ33" i="34" s="1"/>
  <c r="FT33" i="34"/>
  <c r="FS33" i="34"/>
  <c r="FR33" i="34"/>
  <c r="FQ33" i="34"/>
  <c r="EZ33" i="34"/>
  <c r="EY33" i="34"/>
  <c r="EX33" i="34"/>
  <c r="EW33" i="34"/>
  <c r="EV33" i="34"/>
  <c r="FU32" i="34"/>
  <c r="FV32" i="34" s="1"/>
  <c r="FW32" i="34" s="1"/>
  <c r="FX32" i="34" s="1"/>
  <c r="FY32" i="34" s="1"/>
  <c r="FZ32" i="34" s="1"/>
  <c r="FT32" i="34"/>
  <c r="FS32" i="34"/>
  <c r="FR32" i="34"/>
  <c r="FQ32" i="34"/>
  <c r="EZ32" i="34"/>
  <c r="EY32" i="34"/>
  <c r="EX32" i="34"/>
  <c r="EW32" i="34"/>
  <c r="EV32" i="34"/>
  <c r="FU31" i="34"/>
  <c r="FV31" i="34" s="1"/>
  <c r="FW31" i="34" s="1"/>
  <c r="FX31" i="34" s="1"/>
  <c r="FY31" i="34" s="1"/>
  <c r="FZ31" i="34" s="1"/>
  <c r="FT31" i="34"/>
  <c r="FS31" i="34"/>
  <c r="FR31" i="34"/>
  <c r="FQ31" i="34"/>
  <c r="EZ31" i="34"/>
  <c r="EY31" i="34"/>
  <c r="EX31" i="34"/>
  <c r="EW31" i="34"/>
  <c r="EV31" i="34"/>
  <c r="FU23" i="34"/>
  <c r="FT23" i="34"/>
  <c r="FS23" i="34"/>
  <c r="FR23" i="34"/>
  <c r="FQ23" i="34"/>
  <c r="EZ23" i="34"/>
  <c r="EY23" i="34"/>
  <c r="EX23" i="34"/>
  <c r="EW23" i="34"/>
  <c r="EV23" i="34"/>
  <c r="FU22" i="34"/>
  <c r="FT22" i="34"/>
  <c r="FS22" i="34"/>
  <c r="FR22" i="34"/>
  <c r="FQ22" i="34"/>
  <c r="EZ22" i="34"/>
  <c r="EY22" i="34"/>
  <c r="EX22" i="34"/>
  <c r="EW22" i="34"/>
  <c r="EV22" i="34"/>
  <c r="FU21" i="34"/>
  <c r="FT21" i="34"/>
  <c r="FS21" i="34"/>
  <c r="FR21" i="34"/>
  <c r="FQ21" i="34"/>
  <c r="EZ21" i="34"/>
  <c r="EY21" i="34"/>
  <c r="EX21" i="34"/>
  <c r="EW21" i="34"/>
  <c r="EV21" i="34"/>
  <c r="FU20" i="34"/>
  <c r="FT20" i="34"/>
  <c r="FS20" i="34"/>
  <c r="FR20" i="34"/>
  <c r="FQ20" i="34"/>
  <c r="EZ20" i="34"/>
  <c r="EY20" i="34"/>
  <c r="EX20" i="34"/>
  <c r="EW20" i="34"/>
  <c r="EV20" i="34"/>
  <c r="FU19" i="34"/>
  <c r="FT19" i="34"/>
  <c r="FS19" i="34"/>
  <c r="FR19" i="34"/>
  <c r="FQ19" i="34"/>
  <c r="EZ19" i="34"/>
  <c r="EY19" i="34"/>
  <c r="EX19" i="34"/>
  <c r="EW19" i="34"/>
  <c r="EV19" i="34"/>
  <c r="FU18" i="34"/>
  <c r="FT18" i="34"/>
  <c r="FS18" i="34"/>
  <c r="FR18" i="34"/>
  <c r="FQ18" i="34"/>
  <c r="EZ18" i="34"/>
  <c r="EY18" i="34"/>
  <c r="EX18" i="34"/>
  <c r="EW18" i="34"/>
  <c r="EV18" i="34"/>
  <c r="FU17" i="34"/>
  <c r="FT17" i="34"/>
  <c r="FS17" i="34"/>
  <c r="FR17" i="34"/>
  <c r="FQ17" i="34"/>
  <c r="EZ17" i="34"/>
  <c r="EY17" i="34"/>
  <c r="EX17" i="34"/>
  <c r="EW17" i="34"/>
  <c r="EV17" i="34"/>
  <c r="FU16" i="34"/>
  <c r="FT16" i="34"/>
  <c r="FS16" i="34"/>
  <c r="FR16" i="34"/>
  <c r="FQ16" i="34"/>
  <c r="EZ16" i="34"/>
  <c r="EY16" i="34"/>
  <c r="EX16" i="34"/>
  <c r="EW16" i="34"/>
  <c r="EV16" i="34"/>
  <c r="FU15" i="34"/>
  <c r="FT15" i="34"/>
  <c r="FS15" i="34"/>
  <c r="FR15" i="34"/>
  <c r="FQ15" i="34"/>
  <c r="EZ15" i="34"/>
  <c r="EY15" i="34"/>
  <c r="EX15" i="34"/>
  <c r="EW15" i="34"/>
  <c r="EV15" i="34"/>
  <c r="FU14" i="34"/>
  <c r="FT14" i="34"/>
  <c r="FS14" i="34"/>
  <c r="FR14" i="34"/>
  <c r="FQ14" i="34"/>
  <c r="EZ14" i="34"/>
  <c r="EY14" i="34"/>
  <c r="EX14" i="34"/>
  <c r="EW14" i="34"/>
  <c r="EV14" i="34"/>
  <c r="FU13" i="34"/>
  <c r="FT13" i="34"/>
  <c r="FS13" i="34"/>
  <c r="FR13" i="34"/>
  <c r="FQ13" i="34"/>
  <c r="EZ13" i="34"/>
  <c r="EY13" i="34"/>
  <c r="EX13" i="34"/>
  <c r="EW13" i="34"/>
  <c r="EV13" i="34"/>
  <c r="FU12" i="34"/>
  <c r="FT12" i="34"/>
  <c r="FS12" i="34"/>
  <c r="FR12" i="34"/>
  <c r="FQ12" i="34"/>
  <c r="EZ12" i="34"/>
  <c r="EY12" i="34"/>
  <c r="EX12" i="34"/>
  <c r="EW12" i="34"/>
  <c r="EV12" i="34"/>
  <c r="FU11" i="34"/>
  <c r="FU44" i="34" s="1"/>
  <c r="FT11" i="34"/>
  <c r="FS11" i="34"/>
  <c r="FR11" i="34"/>
  <c r="FQ11" i="34"/>
  <c r="EZ11" i="34"/>
  <c r="EY11" i="34"/>
  <c r="EX11" i="34"/>
  <c r="EW11" i="34"/>
  <c r="EV11" i="34"/>
  <c r="FU10" i="34"/>
  <c r="FT10" i="34"/>
  <c r="FT44" i="34" s="1"/>
  <c r="FS10" i="34"/>
  <c r="FR10" i="34"/>
  <c r="FQ10" i="34"/>
  <c r="FO10" i="34"/>
  <c r="FO11" i="34" s="1"/>
  <c r="EZ10" i="34"/>
  <c r="EY10" i="34"/>
  <c r="EX10" i="34"/>
  <c r="EW10" i="34"/>
  <c r="EV10" i="34"/>
  <c r="FU9" i="34"/>
  <c r="FT9" i="34"/>
  <c r="FS9" i="34"/>
  <c r="FR9" i="34"/>
  <c r="FQ9" i="34"/>
  <c r="FO9" i="34"/>
  <c r="FN9" i="34"/>
  <c r="FN10" i="34" s="1"/>
  <c r="FM9" i="34"/>
  <c r="FM10" i="34" s="1"/>
  <c r="FL9" i="34"/>
  <c r="FL10" i="34" s="1"/>
  <c r="EZ9" i="34"/>
  <c r="EY9" i="34"/>
  <c r="EX9" i="34"/>
  <c r="EW9" i="34"/>
  <c r="EV9" i="34"/>
  <c r="FU8" i="34"/>
  <c r="FT8" i="34"/>
  <c r="FS8" i="34"/>
  <c r="FS44" i="34" s="1"/>
  <c r="FR8" i="34"/>
  <c r="FR44" i="34" s="1"/>
  <c r="FQ8" i="34"/>
  <c r="FQ44" i="34" s="1"/>
  <c r="EZ8" i="34"/>
  <c r="EY8" i="34"/>
  <c r="EX8" i="34"/>
  <c r="EW8" i="34"/>
  <c r="EV8" i="34"/>
  <c r="EP43" i="34"/>
  <c r="EO43" i="34"/>
  <c r="EN42" i="34"/>
  <c r="EM42" i="34"/>
  <c r="ES41" i="34"/>
  <c r="ET39" i="34"/>
  <c r="EP35" i="34"/>
  <c r="EN34" i="34"/>
  <c r="EL34" i="34"/>
  <c r="EL32" i="34"/>
  <c r="EM23" i="34"/>
  <c r="EN19" i="34"/>
  <c r="EM16" i="34"/>
  <c r="EP15" i="34"/>
  <c r="ES14" i="34"/>
  <c r="EO12" i="34"/>
  <c r="EO8" i="34"/>
  <c r="CL43" i="34"/>
  <c r="DH43" i="34" s="1"/>
  <c r="BV43" i="34"/>
  <c r="CR43" i="34" s="1"/>
  <c r="DN43" i="34" s="1"/>
  <c r="BU43" i="34"/>
  <c r="ET43" i="34" s="1"/>
  <c r="BT43" i="34"/>
  <c r="ES43" i="34" s="1"/>
  <c r="BS43" i="34"/>
  <c r="ER43" i="34" s="1"/>
  <c r="BR43" i="34"/>
  <c r="EQ43" i="34" s="1"/>
  <c r="BQ43" i="34"/>
  <c r="CM43" i="34" s="1"/>
  <c r="BP43" i="34"/>
  <c r="BO43" i="34"/>
  <c r="EN43" i="34" s="1"/>
  <c r="BN43" i="34"/>
  <c r="EM43" i="34" s="1"/>
  <c r="BM43" i="34"/>
  <c r="CI43" i="34" s="1"/>
  <c r="DE43" i="34" s="1"/>
  <c r="BV42" i="34"/>
  <c r="CR42" i="34" s="1"/>
  <c r="DN42" i="34" s="1"/>
  <c r="BU42" i="34"/>
  <c r="CQ42" i="34" s="1"/>
  <c r="DM42" i="34" s="1"/>
  <c r="BT42" i="34"/>
  <c r="ES42" i="34" s="1"/>
  <c r="BS42" i="34"/>
  <c r="ER42" i="34" s="1"/>
  <c r="BR42" i="34"/>
  <c r="CN42" i="34" s="1"/>
  <c r="DJ42" i="34" s="1"/>
  <c r="BQ42" i="34"/>
  <c r="CM42" i="34" s="1"/>
  <c r="DI42" i="34" s="1"/>
  <c r="EE42" i="34" s="1"/>
  <c r="BP42" i="34"/>
  <c r="EO42" i="34" s="1"/>
  <c r="BO42" i="34"/>
  <c r="BN42" i="34"/>
  <c r="BM42" i="34"/>
  <c r="CI42" i="34" s="1"/>
  <c r="DE42" i="34" s="1"/>
  <c r="BV41" i="34"/>
  <c r="CR41" i="34" s="1"/>
  <c r="DN41" i="34" s="1"/>
  <c r="BU41" i="34"/>
  <c r="ET41" i="34" s="1"/>
  <c r="BT41" i="34"/>
  <c r="BS41" i="34"/>
  <c r="ER41" i="34" s="1"/>
  <c r="BR41" i="34"/>
  <c r="EQ41" i="34" s="1"/>
  <c r="BQ41" i="34"/>
  <c r="CM41" i="34" s="1"/>
  <c r="DI41" i="34" s="1"/>
  <c r="BP41" i="34"/>
  <c r="EO41" i="34" s="1"/>
  <c r="BO41" i="34"/>
  <c r="EN41" i="34" s="1"/>
  <c r="BN41" i="34"/>
  <c r="CJ41" i="34" s="1"/>
  <c r="DF41" i="34" s="1"/>
  <c r="BM41" i="34"/>
  <c r="CI41" i="34" s="1"/>
  <c r="DE41" i="34" s="1"/>
  <c r="EA41" i="34" s="1"/>
  <c r="BV40" i="34"/>
  <c r="CR40" i="34" s="1"/>
  <c r="DN40" i="34" s="1"/>
  <c r="BU40" i="34"/>
  <c r="ET40" i="34" s="1"/>
  <c r="BT40" i="34"/>
  <c r="ES40" i="34" s="1"/>
  <c r="BS40" i="34"/>
  <c r="ER40" i="34" s="1"/>
  <c r="BR40" i="34"/>
  <c r="CN40" i="34" s="1"/>
  <c r="DJ40" i="34" s="1"/>
  <c r="BQ40" i="34"/>
  <c r="CM40" i="34" s="1"/>
  <c r="BP40" i="34"/>
  <c r="EO40" i="34" s="1"/>
  <c r="BO40" i="34"/>
  <c r="CK40" i="34" s="1"/>
  <c r="DG40" i="34" s="1"/>
  <c r="BN40" i="34"/>
  <c r="CJ40" i="34" s="1"/>
  <c r="DF40" i="34" s="1"/>
  <c r="BM40" i="34"/>
  <c r="CI40" i="34" s="1"/>
  <c r="DE40" i="34" s="1"/>
  <c r="BV39" i="34"/>
  <c r="CR39" i="34" s="1"/>
  <c r="DN39" i="34" s="1"/>
  <c r="BU39" i="34"/>
  <c r="BT39" i="34"/>
  <c r="CP39" i="34" s="1"/>
  <c r="DL39" i="34" s="1"/>
  <c r="BS39" i="34"/>
  <c r="ER39" i="34" s="1"/>
  <c r="BR39" i="34"/>
  <c r="CN39" i="34" s="1"/>
  <c r="DJ39" i="34" s="1"/>
  <c r="BQ39" i="34"/>
  <c r="CM39" i="34" s="1"/>
  <c r="DI39" i="34" s="1"/>
  <c r="BP39" i="34"/>
  <c r="EO39" i="34" s="1"/>
  <c r="BO39" i="34"/>
  <c r="EN39" i="34" s="1"/>
  <c r="BN39" i="34"/>
  <c r="CJ39" i="34" s="1"/>
  <c r="DF39" i="34" s="1"/>
  <c r="BM39" i="34"/>
  <c r="CI39" i="34" s="1"/>
  <c r="DE39" i="34" s="1"/>
  <c r="CO38" i="34"/>
  <c r="DK38" i="34" s="1"/>
  <c r="BV38" i="34"/>
  <c r="CR38" i="34" s="1"/>
  <c r="DN38" i="34" s="1"/>
  <c r="BU38" i="34"/>
  <c r="ET38" i="34" s="1"/>
  <c r="BT38" i="34"/>
  <c r="ES38" i="34" s="1"/>
  <c r="BS38" i="34"/>
  <c r="ER38" i="34" s="1"/>
  <c r="BR38" i="34"/>
  <c r="EQ38" i="34" s="1"/>
  <c r="BQ38" i="34"/>
  <c r="CM38" i="34" s="1"/>
  <c r="BP38" i="34"/>
  <c r="EO38" i="34" s="1"/>
  <c r="BO38" i="34"/>
  <c r="EN38" i="34" s="1"/>
  <c r="BN38" i="34"/>
  <c r="CJ38" i="34" s="1"/>
  <c r="DF38" i="34" s="1"/>
  <c r="EB38" i="34" s="1"/>
  <c r="BM38" i="34"/>
  <c r="CI38" i="34" s="1"/>
  <c r="DE38" i="34" s="1"/>
  <c r="BV37" i="34"/>
  <c r="CR37" i="34" s="1"/>
  <c r="DN37" i="34" s="1"/>
  <c r="BU37" i="34"/>
  <c r="ET37" i="34" s="1"/>
  <c r="BT37" i="34"/>
  <c r="ES37" i="34" s="1"/>
  <c r="BS37" i="34"/>
  <c r="ER37" i="34" s="1"/>
  <c r="BR37" i="34"/>
  <c r="CN37" i="34" s="1"/>
  <c r="DJ37" i="34" s="1"/>
  <c r="BQ37" i="34"/>
  <c r="CM37" i="34" s="1"/>
  <c r="BP37" i="34"/>
  <c r="EO37" i="34" s="1"/>
  <c r="BO37" i="34"/>
  <c r="EN37" i="34" s="1"/>
  <c r="BN37" i="34"/>
  <c r="CJ37" i="34" s="1"/>
  <c r="DF37" i="34" s="1"/>
  <c r="BM37" i="34"/>
  <c r="CI37" i="34" s="1"/>
  <c r="DE37" i="34" s="1"/>
  <c r="BV36" i="34"/>
  <c r="CR36" i="34" s="1"/>
  <c r="DN36" i="34" s="1"/>
  <c r="BU36" i="34"/>
  <c r="ET36" i="34" s="1"/>
  <c r="BT36" i="34"/>
  <c r="ES36" i="34" s="1"/>
  <c r="BS36" i="34"/>
  <c r="CO36" i="34" s="1"/>
  <c r="DK36" i="34" s="1"/>
  <c r="BR36" i="34"/>
  <c r="CN36" i="34" s="1"/>
  <c r="DJ36" i="34" s="1"/>
  <c r="BQ36" i="34"/>
  <c r="CM36" i="34" s="1"/>
  <c r="DI36" i="34" s="1"/>
  <c r="BP36" i="34"/>
  <c r="EO36" i="34" s="1"/>
  <c r="BO36" i="34"/>
  <c r="EN36" i="34" s="1"/>
  <c r="BN36" i="34"/>
  <c r="EM36" i="34" s="1"/>
  <c r="BM36" i="34"/>
  <c r="EL36" i="34" s="1"/>
  <c r="BV35" i="34"/>
  <c r="CR35" i="34" s="1"/>
  <c r="DN35" i="34" s="1"/>
  <c r="BU35" i="34"/>
  <c r="ET35" i="34" s="1"/>
  <c r="BT35" i="34"/>
  <c r="CP35" i="34" s="1"/>
  <c r="DL35" i="34" s="1"/>
  <c r="BS35" i="34"/>
  <c r="ER35" i="34" s="1"/>
  <c r="BR35" i="34"/>
  <c r="EQ35" i="34" s="1"/>
  <c r="BQ35" i="34"/>
  <c r="CM35" i="34" s="1"/>
  <c r="DI35" i="34" s="1"/>
  <c r="EE35" i="34" s="1"/>
  <c r="BP35" i="34"/>
  <c r="CL35" i="34" s="1"/>
  <c r="DH35" i="34" s="1"/>
  <c r="ED35" i="34" s="1"/>
  <c r="BO35" i="34"/>
  <c r="EN35" i="34" s="1"/>
  <c r="BN35" i="34"/>
  <c r="EM35" i="34" s="1"/>
  <c r="BM35" i="34"/>
  <c r="EL35" i="34" s="1"/>
  <c r="BV34" i="34"/>
  <c r="CR34" i="34" s="1"/>
  <c r="DN34" i="34" s="1"/>
  <c r="BU34" i="34"/>
  <c r="ET34" i="34" s="1"/>
  <c r="BT34" i="34"/>
  <c r="ES34" i="34" s="1"/>
  <c r="BS34" i="34"/>
  <c r="ER34" i="34" s="1"/>
  <c r="BR34" i="34"/>
  <c r="CN34" i="34" s="1"/>
  <c r="DJ34" i="34" s="1"/>
  <c r="BQ34" i="34"/>
  <c r="EP34" i="34" s="1"/>
  <c r="BP34" i="34"/>
  <c r="EO34" i="34" s="1"/>
  <c r="BO34" i="34"/>
  <c r="BN34" i="34"/>
  <c r="CJ34" i="34" s="1"/>
  <c r="BM34" i="34"/>
  <c r="CI34" i="34" s="1"/>
  <c r="DE34" i="34" s="1"/>
  <c r="EA34" i="34" s="1"/>
  <c r="BV33" i="34"/>
  <c r="CR33" i="34" s="1"/>
  <c r="DN33" i="34" s="1"/>
  <c r="BU33" i="34"/>
  <c r="CQ33" i="34" s="1"/>
  <c r="DM33" i="34" s="1"/>
  <c r="BT33" i="34"/>
  <c r="ES33" i="34" s="1"/>
  <c r="BS33" i="34"/>
  <c r="ER33" i="34" s="1"/>
  <c r="BR33" i="34"/>
  <c r="EQ33" i="34" s="1"/>
  <c r="BQ33" i="34"/>
  <c r="EP33" i="34" s="1"/>
  <c r="BP33" i="34"/>
  <c r="CL33" i="34" s="1"/>
  <c r="DH33" i="34" s="1"/>
  <c r="BO33" i="34"/>
  <c r="EN33" i="34" s="1"/>
  <c r="BN33" i="34"/>
  <c r="CJ33" i="34" s="1"/>
  <c r="BM33" i="34"/>
  <c r="EL33" i="34" s="1"/>
  <c r="BV32" i="34"/>
  <c r="CR32" i="34" s="1"/>
  <c r="DN32" i="34" s="1"/>
  <c r="BU32" i="34"/>
  <c r="ET32" i="34" s="1"/>
  <c r="BT32" i="34"/>
  <c r="ES32" i="34" s="1"/>
  <c r="BS32" i="34"/>
  <c r="CO32" i="34" s="1"/>
  <c r="DK32" i="34" s="1"/>
  <c r="BR32" i="34"/>
  <c r="CN32" i="34" s="1"/>
  <c r="DJ32" i="34" s="1"/>
  <c r="BQ32" i="34"/>
  <c r="EP32" i="34" s="1"/>
  <c r="BP32" i="34"/>
  <c r="EO32" i="34" s="1"/>
  <c r="BO32" i="34"/>
  <c r="EN32" i="34" s="1"/>
  <c r="BN32" i="34"/>
  <c r="EM32" i="34" s="1"/>
  <c r="BM32" i="34"/>
  <c r="BV31" i="34"/>
  <c r="CR31" i="34" s="1"/>
  <c r="DN31" i="34" s="1"/>
  <c r="BU31" i="34"/>
  <c r="CQ31" i="34" s="1"/>
  <c r="DM31" i="34" s="1"/>
  <c r="BT31" i="34"/>
  <c r="ES31" i="34" s="1"/>
  <c r="BS31" i="34"/>
  <c r="ER31" i="34" s="1"/>
  <c r="BR31" i="34"/>
  <c r="EQ31" i="34" s="1"/>
  <c r="BQ31" i="34"/>
  <c r="CM31" i="34" s="1"/>
  <c r="BP31" i="34"/>
  <c r="CL31" i="34" s="1"/>
  <c r="DH31" i="34" s="1"/>
  <c r="BO31" i="34"/>
  <c r="EN31" i="34" s="1"/>
  <c r="BN31" i="34"/>
  <c r="EM31" i="34" s="1"/>
  <c r="BM31" i="34"/>
  <c r="CI31" i="34" s="1"/>
  <c r="DE31" i="34" s="1"/>
  <c r="EA31" i="34" s="1"/>
  <c r="EK23" i="34"/>
  <c r="CF23" i="34"/>
  <c r="CG23" i="34" s="1"/>
  <c r="BU23" i="34"/>
  <c r="ET23" i="34" s="1"/>
  <c r="BT23" i="34"/>
  <c r="ES23" i="34" s="1"/>
  <c r="BS23" i="34"/>
  <c r="ER23" i="34" s="1"/>
  <c r="BR23" i="34"/>
  <c r="EQ23" i="34" s="1"/>
  <c r="BQ23" i="34"/>
  <c r="CM23" i="34" s="1"/>
  <c r="BP23" i="34"/>
  <c r="CL23" i="34" s="1"/>
  <c r="BO23" i="34"/>
  <c r="CK23" i="34" s="1"/>
  <c r="DG23" i="34" s="1"/>
  <c r="BN23" i="34"/>
  <c r="CJ23" i="34" s="1"/>
  <c r="DF23" i="34" s="1"/>
  <c r="BM23" i="34"/>
  <c r="EL23" i="34" s="1"/>
  <c r="BK23" i="34"/>
  <c r="AZ23" i="34"/>
  <c r="AO23" i="34"/>
  <c r="EK22" i="34"/>
  <c r="CF22" i="34"/>
  <c r="CG22" i="34" s="1"/>
  <c r="BU22" i="34"/>
  <c r="ET22" i="34" s="1"/>
  <c r="BT22" i="34"/>
  <c r="ES22" i="34" s="1"/>
  <c r="BS22" i="34"/>
  <c r="ER22" i="34" s="1"/>
  <c r="BR22" i="34"/>
  <c r="EQ22" i="34" s="1"/>
  <c r="BQ22" i="34"/>
  <c r="EP22" i="34" s="1"/>
  <c r="BP22" i="34"/>
  <c r="EO22" i="34" s="1"/>
  <c r="BO22" i="34"/>
  <c r="EN22" i="34" s="1"/>
  <c r="BN22" i="34"/>
  <c r="EM22" i="34" s="1"/>
  <c r="BM22" i="34"/>
  <c r="CI22" i="34" s="1"/>
  <c r="BK22" i="34"/>
  <c r="AZ22" i="34"/>
  <c r="AO22" i="34"/>
  <c r="EK21" i="34"/>
  <c r="CF21" i="34"/>
  <c r="CG21" i="34" s="1"/>
  <c r="BU21" i="34"/>
  <c r="ET21" i="34" s="1"/>
  <c r="BT21" i="34"/>
  <c r="CP21" i="34" s="1"/>
  <c r="BS21" i="34"/>
  <c r="CO21" i="34" s="1"/>
  <c r="BR21" i="34"/>
  <c r="CN21" i="34" s="1"/>
  <c r="DJ21" i="34" s="1"/>
  <c r="EF21" i="34" s="1"/>
  <c r="FV21" i="34" s="1"/>
  <c r="BQ21" i="34"/>
  <c r="EP21" i="34" s="1"/>
  <c r="BP21" i="34"/>
  <c r="EO21" i="34" s="1"/>
  <c r="BO21" i="34"/>
  <c r="CK21" i="34" s="1"/>
  <c r="BN21" i="34"/>
  <c r="CJ21" i="34" s="1"/>
  <c r="DF21" i="34" s="1"/>
  <c r="BM21" i="34"/>
  <c r="EL21" i="34" s="1"/>
  <c r="BK21" i="34"/>
  <c r="AZ21" i="34"/>
  <c r="AO21" i="34"/>
  <c r="EK20" i="34"/>
  <c r="CF20" i="34"/>
  <c r="CG20" i="34" s="1"/>
  <c r="BU20" i="34"/>
  <c r="ET20" i="34" s="1"/>
  <c r="BT20" i="34"/>
  <c r="CP20" i="34" s="1"/>
  <c r="BS20" i="34"/>
  <c r="ER20" i="34" s="1"/>
  <c r="BR20" i="34"/>
  <c r="CN20" i="34" s="1"/>
  <c r="DJ20" i="34" s="1"/>
  <c r="BQ20" i="34"/>
  <c r="EP20" i="34" s="1"/>
  <c r="BP20" i="34"/>
  <c r="CL20" i="34" s="1"/>
  <c r="BO20" i="34"/>
  <c r="CK20" i="34" s="1"/>
  <c r="BN20" i="34"/>
  <c r="EM20" i="34" s="1"/>
  <c r="BM20" i="34"/>
  <c r="EL20" i="34" s="1"/>
  <c r="BK20" i="34"/>
  <c r="AZ20" i="34"/>
  <c r="AO20" i="34"/>
  <c r="EK19" i="34"/>
  <c r="CF19" i="34"/>
  <c r="CG19" i="34" s="1"/>
  <c r="BU19" i="34"/>
  <c r="ET19" i="34" s="1"/>
  <c r="BT19" i="34"/>
  <c r="CP19" i="34" s="1"/>
  <c r="BS19" i="34"/>
  <c r="CO19" i="34" s="1"/>
  <c r="BR19" i="34"/>
  <c r="CN19" i="34" s="1"/>
  <c r="DJ19" i="34" s="1"/>
  <c r="BQ19" i="34"/>
  <c r="EP19" i="34" s="1"/>
  <c r="BP19" i="34"/>
  <c r="EO19" i="34" s="1"/>
  <c r="BO19" i="34"/>
  <c r="CK19" i="34" s="1"/>
  <c r="BN19" i="34"/>
  <c r="EM19" i="34" s="1"/>
  <c r="BM19" i="34"/>
  <c r="EL19" i="34" s="1"/>
  <c r="BK19" i="34"/>
  <c r="AZ19" i="34"/>
  <c r="AO19" i="34"/>
  <c r="EK18" i="34"/>
  <c r="CF18" i="34"/>
  <c r="CG18" i="34" s="1"/>
  <c r="BU18" i="34"/>
  <c r="ET18" i="34" s="1"/>
  <c r="BT18" i="34"/>
  <c r="CP18" i="34" s="1"/>
  <c r="DL18" i="34" s="1"/>
  <c r="BS18" i="34"/>
  <c r="CO18" i="34" s="1"/>
  <c r="DK18" i="34" s="1"/>
  <c r="BR18" i="34"/>
  <c r="EQ18" i="34" s="1"/>
  <c r="BQ18" i="34"/>
  <c r="EP18" i="34" s="1"/>
  <c r="BP18" i="34"/>
  <c r="CL18" i="34" s="1"/>
  <c r="BO18" i="34"/>
  <c r="CK18" i="34" s="1"/>
  <c r="BN18" i="34"/>
  <c r="CJ18" i="34" s="1"/>
  <c r="DF18" i="34" s="1"/>
  <c r="BM18" i="34"/>
  <c r="EL18" i="34" s="1"/>
  <c r="BK18" i="34"/>
  <c r="AZ18" i="34"/>
  <c r="AO18" i="34"/>
  <c r="EK17" i="34"/>
  <c r="CF17" i="34"/>
  <c r="CG17" i="34" s="1"/>
  <c r="BU17" i="34"/>
  <c r="L15" i="17" s="1"/>
  <c r="BT17" i="34"/>
  <c r="K15" i="17" s="1"/>
  <c r="BS17" i="34"/>
  <c r="CO17" i="34" s="1"/>
  <c r="DK17" i="34" s="1"/>
  <c r="BR17" i="34"/>
  <c r="EQ17" i="34" s="1"/>
  <c r="BQ17" i="34"/>
  <c r="EP17" i="34" s="1"/>
  <c r="BP17" i="34"/>
  <c r="CL17" i="34" s="1"/>
  <c r="BO17" i="34"/>
  <c r="CK17" i="34" s="1"/>
  <c r="BN17" i="34"/>
  <c r="EM17" i="34" s="1"/>
  <c r="BM17" i="34"/>
  <c r="EL17" i="34" s="1"/>
  <c r="BK17" i="34"/>
  <c r="AZ17" i="34"/>
  <c r="AO17" i="34"/>
  <c r="EK16" i="34"/>
  <c r="EF16" i="34"/>
  <c r="FV16" i="34" s="1"/>
  <c r="CF16" i="34"/>
  <c r="CG16" i="34" s="1"/>
  <c r="BU16" i="34"/>
  <c r="ET16" i="34" s="1"/>
  <c r="BT16" i="34"/>
  <c r="CP16" i="34" s="1"/>
  <c r="BS16" i="34"/>
  <c r="CO16" i="34" s="1"/>
  <c r="BR16" i="34"/>
  <c r="CN16" i="34" s="1"/>
  <c r="DJ16" i="34" s="1"/>
  <c r="BQ16" i="34"/>
  <c r="EP16" i="34" s="1"/>
  <c r="BP16" i="34"/>
  <c r="EO16" i="34" s="1"/>
  <c r="BO16" i="34"/>
  <c r="CK16" i="34" s="1"/>
  <c r="BN16" i="34"/>
  <c r="CJ16" i="34" s="1"/>
  <c r="DF16" i="34" s="1"/>
  <c r="BM16" i="34"/>
  <c r="EL16" i="34" s="1"/>
  <c r="BK16" i="34"/>
  <c r="AZ16" i="34"/>
  <c r="AO16" i="34"/>
  <c r="EK15" i="34"/>
  <c r="CF15" i="34"/>
  <c r="CG15" i="34" s="1"/>
  <c r="BU15" i="34"/>
  <c r="ET15" i="34" s="1"/>
  <c r="BT15" i="34"/>
  <c r="ES15" i="34" s="1"/>
  <c r="BS15" i="34"/>
  <c r="ER15" i="34" s="1"/>
  <c r="BR15" i="34"/>
  <c r="EQ15" i="34" s="1"/>
  <c r="BQ15" i="34"/>
  <c r="BP15" i="34"/>
  <c r="EO15" i="34" s="1"/>
  <c r="BO15" i="34"/>
  <c r="EN15" i="34" s="1"/>
  <c r="BN15" i="34"/>
  <c r="EM15" i="34" s="1"/>
  <c r="BM15" i="34"/>
  <c r="EL15" i="34" s="1"/>
  <c r="BK15" i="34"/>
  <c r="AZ15" i="34"/>
  <c r="AO15" i="34"/>
  <c r="EK14" i="34"/>
  <c r="CF14" i="34"/>
  <c r="BU14" i="34"/>
  <c r="ET14" i="34" s="1"/>
  <c r="BT14" i="34"/>
  <c r="CP14" i="34" s="1"/>
  <c r="BS14" i="34"/>
  <c r="ER14" i="34" s="1"/>
  <c r="BR14" i="34"/>
  <c r="CN14" i="34" s="1"/>
  <c r="DJ14" i="34" s="1"/>
  <c r="BQ14" i="34"/>
  <c r="CM14" i="34" s="1"/>
  <c r="DI14" i="34" s="1"/>
  <c r="BP14" i="34"/>
  <c r="EO14" i="34" s="1"/>
  <c r="BO14" i="34"/>
  <c r="EN14" i="34" s="1"/>
  <c r="BN14" i="34"/>
  <c r="CJ14" i="34" s="1"/>
  <c r="BM14" i="34"/>
  <c r="CI14" i="34" s="1"/>
  <c r="BK14" i="34"/>
  <c r="AZ14" i="34"/>
  <c r="AO14" i="34"/>
  <c r="EK13" i="34"/>
  <c r="CF13" i="34"/>
  <c r="BU13" i="34"/>
  <c r="ET13" i="34" s="1"/>
  <c r="BT13" i="34"/>
  <c r="CP13" i="34" s="1"/>
  <c r="BS13" i="34"/>
  <c r="ER13" i="34" s="1"/>
  <c r="BR13" i="34"/>
  <c r="EQ13" i="34" s="1"/>
  <c r="BQ13" i="34"/>
  <c r="CM13" i="34" s="1"/>
  <c r="DI13" i="34" s="1"/>
  <c r="BP13" i="34"/>
  <c r="EO13" i="34" s="1"/>
  <c r="BO13" i="34"/>
  <c r="EN13" i="34" s="1"/>
  <c r="BN13" i="34"/>
  <c r="CJ13" i="34" s="1"/>
  <c r="BM13" i="34"/>
  <c r="CI13" i="34" s="1"/>
  <c r="DE13" i="34" s="1"/>
  <c r="BK13" i="34"/>
  <c r="AZ13" i="34"/>
  <c r="AO13" i="34"/>
  <c r="EK12" i="34"/>
  <c r="CF12" i="34"/>
  <c r="BU12" i="34"/>
  <c r="ET12" i="34" s="1"/>
  <c r="BT12" i="34"/>
  <c r="CP12" i="34" s="1"/>
  <c r="BS12" i="34"/>
  <c r="ER12" i="34" s="1"/>
  <c r="BR12" i="34"/>
  <c r="CN12" i="34" s="1"/>
  <c r="BQ12" i="34"/>
  <c r="CM12" i="34" s="1"/>
  <c r="BP12" i="34"/>
  <c r="CL12" i="34" s="1"/>
  <c r="BO12" i="34"/>
  <c r="EN12" i="34" s="1"/>
  <c r="BN12" i="34"/>
  <c r="EM12" i="34" s="1"/>
  <c r="BM12" i="34"/>
  <c r="CI12" i="34" s="1"/>
  <c r="BK12" i="34"/>
  <c r="AZ12" i="34"/>
  <c r="AO12" i="34"/>
  <c r="EK11" i="34"/>
  <c r="CF11" i="34"/>
  <c r="BU11" i="34"/>
  <c r="ET11" i="34" s="1"/>
  <c r="BT11" i="34"/>
  <c r="CP11" i="34" s="1"/>
  <c r="DL11" i="34" s="1"/>
  <c r="BS11" i="34"/>
  <c r="J9" i="17" s="1"/>
  <c r="BR11" i="34"/>
  <c r="CN11" i="34" s="1"/>
  <c r="DJ11" i="34" s="1"/>
  <c r="BQ11" i="34"/>
  <c r="CM11" i="34" s="1"/>
  <c r="DI11" i="34" s="1"/>
  <c r="BP11" i="34"/>
  <c r="EO11" i="34" s="1"/>
  <c r="BO11" i="34"/>
  <c r="EN11" i="34" s="1"/>
  <c r="BN11" i="34"/>
  <c r="CJ11" i="34" s="1"/>
  <c r="BM11" i="34"/>
  <c r="CI11" i="34" s="1"/>
  <c r="BK11" i="34"/>
  <c r="AZ11" i="34"/>
  <c r="AO11" i="34"/>
  <c r="EK10" i="34"/>
  <c r="CF10" i="34"/>
  <c r="BU10" i="34"/>
  <c r="ET10" i="34" s="1"/>
  <c r="BT10" i="34"/>
  <c r="CP10" i="34" s="1"/>
  <c r="BS10" i="34"/>
  <c r="ER10" i="34" s="1"/>
  <c r="BR10" i="34"/>
  <c r="EQ10" i="34" s="1"/>
  <c r="BQ10" i="34"/>
  <c r="CM10" i="34" s="1"/>
  <c r="DI10" i="34" s="1"/>
  <c r="BP10" i="34"/>
  <c r="EO10" i="34" s="1"/>
  <c r="BO10" i="34"/>
  <c r="EN10" i="34" s="1"/>
  <c r="BN10" i="34"/>
  <c r="CJ10" i="34" s="1"/>
  <c r="BM10" i="34"/>
  <c r="CI10" i="34" s="1"/>
  <c r="BK10" i="34"/>
  <c r="AZ10" i="34"/>
  <c r="AO10" i="34"/>
  <c r="EK9" i="34"/>
  <c r="CF9" i="34"/>
  <c r="BU9" i="34"/>
  <c r="ET9" i="34" s="1"/>
  <c r="BT9" i="34"/>
  <c r="ES9" i="34" s="1"/>
  <c r="BS9" i="34"/>
  <c r="ER9" i="34" s="1"/>
  <c r="BR9" i="34"/>
  <c r="CN9" i="34" s="1"/>
  <c r="BQ9" i="34"/>
  <c r="CM9" i="34" s="1"/>
  <c r="BP9" i="34"/>
  <c r="CL9" i="34" s="1"/>
  <c r="BO9" i="34"/>
  <c r="EN9" i="34" s="1"/>
  <c r="BN9" i="34"/>
  <c r="EM9" i="34" s="1"/>
  <c r="BM9" i="34"/>
  <c r="CI9" i="34" s="1"/>
  <c r="BK9" i="34"/>
  <c r="AZ9" i="34"/>
  <c r="AO9" i="34"/>
  <c r="EK8" i="34"/>
  <c r="CF8" i="34"/>
  <c r="CG8" i="34" s="1"/>
  <c r="BU8" i="34"/>
  <c r="ET8" i="34" s="1"/>
  <c r="BT8" i="34"/>
  <c r="ES8" i="34" s="1"/>
  <c r="BS8" i="34"/>
  <c r="CO8" i="34" s="1"/>
  <c r="BR8" i="34"/>
  <c r="CN8" i="34" s="1"/>
  <c r="DJ8" i="34" s="1"/>
  <c r="BQ8" i="34"/>
  <c r="CM8" i="34" s="1"/>
  <c r="DI8" i="34" s="1"/>
  <c r="BP8" i="34"/>
  <c r="BO8" i="34"/>
  <c r="CK8" i="34" s="1"/>
  <c r="DG8" i="34" s="1"/>
  <c r="BN8" i="34"/>
  <c r="CJ8" i="34" s="1"/>
  <c r="BM8" i="34"/>
  <c r="EL8" i="34" s="1"/>
  <c r="BK8" i="34"/>
  <c r="AZ8" i="34"/>
  <c r="AO8" i="34"/>
  <c r="AD8" i="34"/>
  <c r="AD9" i="34" s="1"/>
  <c r="AD10" i="34" s="1"/>
  <c r="AD11" i="34" s="1"/>
  <c r="AD12" i="34" s="1"/>
  <c r="AD13" i="34" s="1"/>
  <c r="AD14" i="34" s="1"/>
  <c r="AD15" i="34" s="1"/>
  <c r="AD16" i="34" s="1"/>
  <c r="CL40" i="27"/>
  <c r="CK40" i="27"/>
  <c r="CJ40" i="27"/>
  <c r="CL39" i="27"/>
  <c r="CK39" i="27"/>
  <c r="CJ39" i="27"/>
  <c r="CL38" i="27"/>
  <c r="CK38" i="27"/>
  <c r="CJ38" i="27"/>
  <c r="CL37" i="27"/>
  <c r="CK37" i="27"/>
  <c r="CJ37" i="27"/>
  <c r="CL36" i="27"/>
  <c r="CK36" i="27"/>
  <c r="CJ36" i="27"/>
  <c r="CL35" i="27"/>
  <c r="CK35" i="27"/>
  <c r="CJ35" i="27"/>
  <c r="CL34" i="27"/>
  <c r="CK34" i="27"/>
  <c r="CJ34" i="27"/>
  <c r="CL33" i="27"/>
  <c r="CK33" i="27"/>
  <c r="CJ33" i="27"/>
  <c r="CL32" i="27"/>
  <c r="CK32" i="27"/>
  <c r="CJ32" i="27"/>
  <c r="CL31" i="27"/>
  <c r="CK31" i="27"/>
  <c r="CJ31" i="27"/>
  <c r="CL30" i="27"/>
  <c r="CK30" i="27"/>
  <c r="CJ30" i="27"/>
  <c r="CL29" i="27"/>
  <c r="CK29" i="27"/>
  <c r="CJ29" i="27"/>
  <c r="CL28" i="27"/>
  <c r="CK28" i="27"/>
  <c r="CJ28" i="27"/>
  <c r="CL27" i="27"/>
  <c r="CK27" i="27"/>
  <c r="CJ27" i="27"/>
  <c r="CL26" i="27"/>
  <c r="CK26" i="27"/>
  <c r="CJ26" i="27"/>
  <c r="CL25" i="27"/>
  <c r="CK25" i="27"/>
  <c r="CJ25" i="27"/>
  <c r="CL24" i="27"/>
  <c r="CK24" i="27"/>
  <c r="CJ24" i="27"/>
  <c r="CL23" i="27"/>
  <c r="CK23" i="27"/>
  <c r="CJ23" i="27"/>
  <c r="CL22" i="27"/>
  <c r="CK22" i="27"/>
  <c r="CJ22" i="27"/>
  <c r="CL21" i="27"/>
  <c r="CK21" i="27"/>
  <c r="CJ21" i="27"/>
  <c r="CL20" i="27"/>
  <c r="CK20" i="27"/>
  <c r="CJ20" i="27"/>
  <c r="CL17" i="27"/>
  <c r="CK17" i="27"/>
  <c r="CJ17" i="27"/>
  <c r="CK16" i="27"/>
  <c r="CJ16" i="27"/>
  <c r="CL15" i="27"/>
  <c r="CK15" i="27"/>
  <c r="CJ15" i="27"/>
  <c r="CJ14" i="27"/>
  <c r="CJ13" i="27"/>
  <c r="CL12" i="27"/>
  <c r="CK12" i="27"/>
  <c r="CJ12" i="27"/>
  <c r="CL11" i="27"/>
  <c r="CK11" i="27"/>
  <c r="CJ11" i="27"/>
  <c r="CL10" i="27"/>
  <c r="CK10" i="27"/>
  <c r="CJ10" i="27"/>
  <c r="CL9" i="27"/>
  <c r="CK9" i="27"/>
  <c r="CJ9" i="27"/>
  <c r="CL8" i="27"/>
  <c r="CK8" i="27"/>
  <c r="CJ8" i="27"/>
  <c r="BV32" i="27"/>
  <c r="BU32" i="27"/>
  <c r="BT32" i="27"/>
  <c r="BS32" i="27"/>
  <c r="BR32" i="27"/>
  <c r="BQ32" i="27"/>
  <c r="BP32" i="27"/>
  <c r="BO32" i="27"/>
  <c r="BN32" i="27"/>
  <c r="BV31" i="27"/>
  <c r="BU31" i="27"/>
  <c r="BT31" i="27"/>
  <c r="BS31" i="27"/>
  <c r="BR31" i="27"/>
  <c r="BQ31" i="27"/>
  <c r="BP31" i="27"/>
  <c r="BO31" i="27"/>
  <c r="BN31" i="27"/>
  <c r="BV30" i="27"/>
  <c r="BU30" i="27"/>
  <c r="BT30" i="27"/>
  <c r="BS30" i="27"/>
  <c r="BR30" i="27"/>
  <c r="BQ30" i="27"/>
  <c r="BP30" i="27"/>
  <c r="BO30" i="27"/>
  <c r="BN30" i="27"/>
  <c r="BV29" i="27"/>
  <c r="BU29" i="27"/>
  <c r="BT29" i="27"/>
  <c r="BS29" i="27"/>
  <c r="BR29" i="27"/>
  <c r="BQ29" i="27"/>
  <c r="BP29" i="27"/>
  <c r="BO29" i="27"/>
  <c r="BN29" i="27"/>
  <c r="BV28" i="27"/>
  <c r="BU28" i="27"/>
  <c r="BT28" i="27"/>
  <c r="BS28" i="27"/>
  <c r="BR28" i="27"/>
  <c r="BQ28" i="27"/>
  <c r="BP28" i="27"/>
  <c r="BO28" i="27"/>
  <c r="BN28" i="27"/>
  <c r="BV27" i="27"/>
  <c r="BU27" i="27"/>
  <c r="BT27" i="27"/>
  <c r="BS27" i="27"/>
  <c r="BR27" i="27"/>
  <c r="BQ27" i="27"/>
  <c r="BP27" i="27"/>
  <c r="BO27" i="27"/>
  <c r="BN27" i="27"/>
  <c r="BV26" i="27"/>
  <c r="BU26" i="27"/>
  <c r="BT26" i="27"/>
  <c r="BS26" i="27"/>
  <c r="BR26" i="27"/>
  <c r="BQ26" i="27"/>
  <c r="BP26" i="27"/>
  <c r="BO26" i="27"/>
  <c r="BN26" i="27"/>
  <c r="BV25" i="27"/>
  <c r="BU25" i="27"/>
  <c r="BT25" i="27"/>
  <c r="BS25" i="27"/>
  <c r="BR25" i="27"/>
  <c r="BQ25" i="27"/>
  <c r="BP25" i="27"/>
  <c r="BO25" i="27"/>
  <c r="BN25" i="27"/>
  <c r="BV24" i="27"/>
  <c r="BU24" i="27"/>
  <c r="BT24" i="27"/>
  <c r="BS24" i="27"/>
  <c r="BR24" i="27"/>
  <c r="BQ24" i="27"/>
  <c r="BP24" i="27"/>
  <c r="BO24" i="27"/>
  <c r="BN24" i="27"/>
  <c r="BV23" i="27"/>
  <c r="BU23" i="27"/>
  <c r="BT23" i="27"/>
  <c r="BS23" i="27"/>
  <c r="BR23" i="27"/>
  <c r="BQ23" i="27"/>
  <c r="BP23" i="27"/>
  <c r="BO23" i="27"/>
  <c r="BN23" i="27"/>
  <c r="BV22" i="27"/>
  <c r="BU22" i="27"/>
  <c r="BT22" i="27"/>
  <c r="BS22" i="27"/>
  <c r="BR22" i="27"/>
  <c r="BQ22" i="27"/>
  <c r="BO22" i="27"/>
  <c r="BN22" i="27"/>
  <c r="BV21" i="27"/>
  <c r="BU21" i="27"/>
  <c r="BT21" i="27"/>
  <c r="BS21" i="27"/>
  <c r="BR21" i="27"/>
  <c r="BQ21" i="27"/>
  <c r="BP21" i="27"/>
  <c r="BO21" i="27"/>
  <c r="BN21" i="27"/>
  <c r="BV20" i="27"/>
  <c r="BU20" i="27"/>
  <c r="BT20" i="27"/>
  <c r="BS20" i="27"/>
  <c r="BR20" i="27"/>
  <c r="BQ20" i="27"/>
  <c r="BP20" i="27"/>
  <c r="BO20" i="27"/>
  <c r="BN20" i="27"/>
  <c r="BN19" i="27"/>
  <c r="BV18" i="27"/>
  <c r="L16" i="7" s="1"/>
  <c r="BU18" i="27"/>
  <c r="K16" i="7" s="1"/>
  <c r="BT18" i="27"/>
  <c r="J16" i="7" s="1"/>
  <c r="BS18" i="27"/>
  <c r="I16" i="7" s="1"/>
  <c r="BR18" i="27"/>
  <c r="H16" i="7" s="1"/>
  <c r="BQ18" i="27"/>
  <c r="BP18" i="27"/>
  <c r="CL18" i="27" s="1"/>
  <c r="BO18" i="27"/>
  <c r="CK18" i="27" s="1"/>
  <c r="BN18" i="27"/>
  <c r="CJ18" i="27" s="1"/>
  <c r="BV17" i="27"/>
  <c r="L15" i="7" s="1"/>
  <c r="BU17" i="27"/>
  <c r="K15" i="7" s="1"/>
  <c r="BT17" i="27"/>
  <c r="J15" i="7" s="1"/>
  <c r="BS17" i="27"/>
  <c r="I15" i="7" s="1"/>
  <c r="BR17" i="27"/>
  <c r="H15" i="7" s="1"/>
  <c r="BQ17" i="27"/>
  <c r="BP17" i="27"/>
  <c r="BO17" i="27"/>
  <c r="BN17" i="27"/>
  <c r="BV16" i="27"/>
  <c r="L14" i="7" s="1"/>
  <c r="BU16" i="27"/>
  <c r="K14" i="7" s="1"/>
  <c r="BT16" i="27"/>
  <c r="J14" i="7" s="1"/>
  <c r="BS16" i="27"/>
  <c r="I14" i="7" s="1"/>
  <c r="BR16" i="27"/>
  <c r="H14" i="7" s="1"/>
  <c r="BQ16" i="27"/>
  <c r="BP16" i="27"/>
  <c r="BO16" i="27"/>
  <c r="BN16" i="27"/>
  <c r="BV15" i="27"/>
  <c r="L13" i="7" s="1"/>
  <c r="BU15" i="27"/>
  <c r="K13" i="7" s="1"/>
  <c r="BT15" i="27"/>
  <c r="J13" i="7" s="1"/>
  <c r="BS15" i="27"/>
  <c r="I13" i="7" s="1"/>
  <c r="BR15" i="27"/>
  <c r="H13" i="7" s="1"/>
  <c r="BQ15" i="27"/>
  <c r="BP15" i="27"/>
  <c r="BO15" i="27"/>
  <c r="BN15" i="27"/>
  <c r="BV14" i="27"/>
  <c r="L12" i="7" s="1"/>
  <c r="BU14" i="27"/>
  <c r="K12" i="7" s="1"/>
  <c r="BT14" i="27"/>
  <c r="J12" i="7" s="1"/>
  <c r="BS14" i="27"/>
  <c r="I12" i="7" s="1"/>
  <c r="BR14" i="27"/>
  <c r="H12" i="7" s="1"/>
  <c r="BQ14" i="27"/>
  <c r="BP14" i="27"/>
  <c r="CL14" i="27" s="1"/>
  <c r="BO14" i="27"/>
  <c r="CK14" i="27" s="1"/>
  <c r="BN14" i="27"/>
  <c r="BV13" i="27"/>
  <c r="L11" i="7" s="1"/>
  <c r="BU13" i="27"/>
  <c r="K11" i="7" s="1"/>
  <c r="BT13" i="27"/>
  <c r="J11" i="7" s="1"/>
  <c r="BS13" i="27"/>
  <c r="I11" i="7" s="1"/>
  <c r="BR13" i="27"/>
  <c r="H11" i="7" s="1"/>
  <c r="BQ13" i="27"/>
  <c r="BP13" i="27"/>
  <c r="CL13" i="27" s="1"/>
  <c r="BO13" i="27"/>
  <c r="CK13" i="27" s="1"/>
  <c r="BN13" i="27"/>
  <c r="BV12" i="27"/>
  <c r="L10" i="7" s="1"/>
  <c r="BU12" i="27"/>
  <c r="K10" i="7" s="1"/>
  <c r="BT12" i="27"/>
  <c r="J10" i="7" s="1"/>
  <c r="BS12" i="27"/>
  <c r="I10" i="7" s="1"/>
  <c r="BR12" i="27"/>
  <c r="H10" i="7" s="1"/>
  <c r="BQ12" i="27"/>
  <c r="BP12" i="27"/>
  <c r="BO12" i="27"/>
  <c r="BN12" i="27"/>
  <c r="BV11" i="27"/>
  <c r="L9" i="7" s="1"/>
  <c r="BU11" i="27"/>
  <c r="K9" i="7" s="1"/>
  <c r="BT11" i="27"/>
  <c r="J9" i="7" s="1"/>
  <c r="BS11" i="27"/>
  <c r="I9" i="7" s="1"/>
  <c r="BR11" i="27"/>
  <c r="H9" i="7" s="1"/>
  <c r="BQ11" i="27"/>
  <c r="BP11" i="27"/>
  <c r="BO11" i="27"/>
  <c r="BN11" i="27"/>
  <c r="BV10" i="27"/>
  <c r="L8" i="7" s="1"/>
  <c r="BU10" i="27"/>
  <c r="K8" i="7" s="1"/>
  <c r="BT10" i="27"/>
  <c r="J8" i="7" s="1"/>
  <c r="BS10" i="27"/>
  <c r="I8" i="7" s="1"/>
  <c r="BR10" i="27"/>
  <c r="H8" i="7" s="1"/>
  <c r="BQ10" i="27"/>
  <c r="BP10" i="27"/>
  <c r="BO10" i="27"/>
  <c r="BN10" i="27"/>
  <c r="BV9" i="27"/>
  <c r="L7" i="7" s="1"/>
  <c r="BU9" i="27"/>
  <c r="K7" i="7" s="1"/>
  <c r="BT9" i="27"/>
  <c r="J7" i="7" s="1"/>
  <c r="BS9" i="27"/>
  <c r="I7" i="7" s="1"/>
  <c r="BR9" i="27"/>
  <c r="H7" i="7" s="1"/>
  <c r="BQ9" i="27"/>
  <c r="BP9" i="27"/>
  <c r="BO9" i="27"/>
  <c r="BN9" i="27"/>
  <c r="BV8" i="27"/>
  <c r="BU8" i="27"/>
  <c r="BT8" i="27"/>
  <c r="BS8" i="27"/>
  <c r="BR8" i="27"/>
  <c r="BQ8" i="27"/>
  <c r="BP8" i="27"/>
  <c r="BO8" i="27"/>
  <c r="BN8" i="27"/>
  <c r="J8" i="17" l="1"/>
  <c r="J12" i="17"/>
  <c r="J16" i="17"/>
  <c r="J20" i="17"/>
  <c r="K8" i="17"/>
  <c r="K12" i="17"/>
  <c r="K16" i="17"/>
  <c r="K20" i="17"/>
  <c r="ES17" i="34"/>
  <c r="I7" i="17"/>
  <c r="L8" i="17"/>
  <c r="I11" i="17"/>
  <c r="L12" i="17"/>
  <c r="I15" i="17"/>
  <c r="L16" i="17"/>
  <c r="I19" i="17"/>
  <c r="L20" i="17"/>
  <c r="ET17" i="34"/>
  <c r="J7" i="17"/>
  <c r="J11" i="17"/>
  <c r="J15" i="17"/>
  <c r="J19" i="17"/>
  <c r="ER18" i="34"/>
  <c r="K7" i="17"/>
  <c r="K11" i="17"/>
  <c r="K19" i="17"/>
  <c r="I6" i="17"/>
  <c r="L7" i="17"/>
  <c r="I10" i="17"/>
  <c r="L11" i="17"/>
  <c r="I14" i="17"/>
  <c r="I18" i="17"/>
  <c r="L19" i="17"/>
  <c r="J6" i="17"/>
  <c r="J10" i="17"/>
  <c r="J14" i="17"/>
  <c r="J18" i="17"/>
  <c r="K6" i="17"/>
  <c r="K10" i="17"/>
  <c r="K14" i="17"/>
  <c r="K18" i="17"/>
  <c r="L6" i="17"/>
  <c r="I9" i="17"/>
  <c r="L10" i="17"/>
  <c r="I13" i="17"/>
  <c r="L14" i="17"/>
  <c r="I17" i="17"/>
  <c r="L18" i="17"/>
  <c r="I21" i="17"/>
  <c r="ER11" i="34"/>
  <c r="J13" i="17"/>
  <c r="J17" i="17"/>
  <c r="J21" i="17"/>
  <c r="L13" i="17"/>
  <c r="K9" i="17"/>
  <c r="K13" i="17"/>
  <c r="K17" i="17"/>
  <c r="K21" i="17"/>
  <c r="BT27" i="42"/>
  <c r="DA27" i="42" s="1"/>
  <c r="AN27" i="42"/>
  <c r="BT22" i="42"/>
  <c r="DA22" i="42" s="1"/>
  <c r="R22" i="42"/>
  <c r="S22" i="42" s="1"/>
  <c r="CY40" i="42"/>
  <c r="AL13" i="42"/>
  <c r="CX13" i="42"/>
  <c r="CJ26" i="42"/>
  <c r="DA34" i="42"/>
  <c r="BO8" i="42"/>
  <c r="CV8" i="42" s="1"/>
  <c r="M9" i="42"/>
  <c r="BO19" i="42"/>
  <c r="CK19" i="42" s="1"/>
  <c r="AU12" i="42"/>
  <c r="BR14" i="42"/>
  <c r="CU22" i="42"/>
  <c r="CN32" i="42"/>
  <c r="CX33" i="42"/>
  <c r="CJ35" i="42"/>
  <c r="CQ36" i="42"/>
  <c r="EI36" i="42" s="1"/>
  <c r="CV37" i="42"/>
  <c r="CX39" i="42"/>
  <c r="CM41" i="42"/>
  <c r="EE41" i="42" s="1"/>
  <c r="CO42" i="42"/>
  <c r="EG42" i="42" s="1"/>
  <c r="CQ43" i="42"/>
  <c r="EI43" i="42" s="1"/>
  <c r="CN44" i="42"/>
  <c r="EF44" i="42" s="1"/>
  <c r="CM45" i="42"/>
  <c r="EE45" i="42" s="1"/>
  <c r="CP46" i="42"/>
  <c r="EH46" i="42" s="1"/>
  <c r="CN47" i="42"/>
  <c r="EF47" i="42" s="1"/>
  <c r="CT15" i="42"/>
  <c r="BO16" i="42"/>
  <c r="BP19" i="42"/>
  <c r="CK21" i="42"/>
  <c r="DC34" i="42"/>
  <c r="CT36" i="42"/>
  <c r="CY39" i="42"/>
  <c r="CR42" i="42"/>
  <c r="EJ42" i="42" s="1"/>
  <c r="CV30" i="42"/>
  <c r="CL14" i="42"/>
  <c r="CU15" i="42"/>
  <c r="CT27" i="42"/>
  <c r="CX36" i="42"/>
  <c r="DB38" i="42"/>
  <c r="CV43" i="42"/>
  <c r="CI8" i="42"/>
  <c r="EA8" i="42" s="1"/>
  <c r="CU10" i="42"/>
  <c r="AU26" i="42"/>
  <c r="BQ26" i="42" s="1"/>
  <c r="CX26" i="42" s="1"/>
  <c r="CV28" i="42"/>
  <c r="CT29" i="42"/>
  <c r="CP35" i="42"/>
  <c r="DA37" i="42"/>
  <c r="DC38" i="42"/>
  <c r="CR41" i="42"/>
  <c r="EJ41" i="42" s="1"/>
  <c r="CU45" i="42"/>
  <c r="CU46" i="42"/>
  <c r="BO9" i="42"/>
  <c r="CK9" i="42" s="1"/>
  <c r="EC9" i="42" s="1"/>
  <c r="CX18" i="42"/>
  <c r="CX27" i="42"/>
  <c r="CV27" i="42"/>
  <c r="CR31" i="42"/>
  <c r="CN34" i="42"/>
  <c r="CQ35" i="42"/>
  <c r="CX30" i="42"/>
  <c r="CV14" i="42"/>
  <c r="CW27" i="42"/>
  <c r="CO40" i="42"/>
  <c r="EG40" i="42" s="1"/>
  <c r="BR18" i="42"/>
  <c r="CY18" i="42" s="1"/>
  <c r="EB11" i="42"/>
  <c r="BR17" i="42"/>
  <c r="CY17" i="42" s="1"/>
  <c r="CI24" i="42"/>
  <c r="EA24" i="42" s="1"/>
  <c r="CI28" i="42"/>
  <c r="EA28" i="42" s="1"/>
  <c r="CY29" i="42"/>
  <c r="CL30" i="42"/>
  <c r="CX35" i="42"/>
  <c r="CL38" i="42"/>
  <c r="ED38" i="42" s="1"/>
  <c r="CP40" i="42"/>
  <c r="EH40" i="42" s="1"/>
  <c r="P11" i="42"/>
  <c r="CT22" i="42"/>
  <c r="CJ24" i="42"/>
  <c r="CJ28" i="42"/>
  <c r="CW31" i="42"/>
  <c r="DB32" i="42"/>
  <c r="CJ33" i="42"/>
  <c r="CY35" i="42"/>
  <c r="CI37" i="42"/>
  <c r="EA37" i="42" s="1"/>
  <c r="CM38" i="42"/>
  <c r="EE38" i="42" s="1"/>
  <c r="CU40" i="42"/>
  <c r="DB41" i="42"/>
  <c r="CJ43" i="42"/>
  <c r="EB43" i="42" s="1"/>
  <c r="CI46" i="42"/>
  <c r="EA46" i="42" s="1"/>
  <c r="BP9" i="42"/>
  <c r="CW9" i="42" s="1"/>
  <c r="CJ9" i="42"/>
  <c r="EB9" i="42" s="1"/>
  <c r="CV23" i="42"/>
  <c r="CL23" i="42"/>
  <c r="CT25" i="42"/>
  <c r="CX31" i="42"/>
  <c r="DC32" i="42"/>
  <c r="CK33" i="42"/>
  <c r="CW34" i="42"/>
  <c r="CQ39" i="42"/>
  <c r="EI39" i="42" s="1"/>
  <c r="CV12" i="42"/>
  <c r="CK12" i="42"/>
  <c r="CN13" i="42"/>
  <c r="EF13" i="42" s="1"/>
  <c r="CY13" i="42"/>
  <c r="AW9" i="42"/>
  <c r="AX9" i="42" s="1"/>
  <c r="AY9" i="42" s="1"/>
  <c r="AZ9" i="42" s="1"/>
  <c r="AV11" i="42"/>
  <c r="AV12" i="42"/>
  <c r="AW12" i="42" s="1"/>
  <c r="AX12" i="42" s="1"/>
  <c r="AY12" i="42" s="1"/>
  <c r="AZ12" i="42" s="1"/>
  <c r="CD15" i="42"/>
  <c r="CV18" i="42"/>
  <c r="CK18" i="42"/>
  <c r="AB11" i="42"/>
  <c r="CE11" i="42"/>
  <c r="CV19" i="42"/>
  <c r="CC9" i="42"/>
  <c r="BU22" i="42"/>
  <c r="DB22" i="42" s="1"/>
  <c r="AO10" i="42"/>
  <c r="CX15" i="42"/>
  <c r="CM15" i="42"/>
  <c r="BT10" i="42"/>
  <c r="AY10" i="42"/>
  <c r="AZ10" i="42" s="1"/>
  <c r="EF29" i="42"/>
  <c r="DU30" i="42"/>
  <c r="DU31" i="42" s="1"/>
  <c r="DU32" i="42" s="1"/>
  <c r="DU33" i="42" s="1"/>
  <c r="DU34" i="42" s="1"/>
  <c r="AN18" i="42"/>
  <c r="AO18" i="42" s="1"/>
  <c r="EB8" i="42"/>
  <c r="DV12" i="42"/>
  <c r="DW11" i="42"/>
  <c r="DX11" i="42" s="1"/>
  <c r="DY11" i="42" s="1"/>
  <c r="BS17" i="42"/>
  <c r="CI11" i="42"/>
  <c r="EA11" i="42" s="1"/>
  <c r="CT11" i="42"/>
  <c r="CV16" i="42"/>
  <c r="CK16" i="42"/>
  <c r="CL8" i="42"/>
  <c r="CB8" i="42"/>
  <c r="DQ16" i="42"/>
  <c r="DQ17" i="42" s="1"/>
  <c r="DQ18" i="42" s="1"/>
  <c r="DQ19" i="42" s="1"/>
  <c r="DQ20" i="42" s="1"/>
  <c r="DQ21" i="42" s="1"/>
  <c r="DQ22" i="42" s="1"/>
  <c r="DQ23" i="42" s="1"/>
  <c r="DQ24" i="42" s="1"/>
  <c r="DQ25" i="42" s="1"/>
  <c r="DQ26" i="42" s="1"/>
  <c r="DQ27" i="42" s="1"/>
  <c r="DQ28" i="42" s="1"/>
  <c r="DQ29" i="42" s="1"/>
  <c r="DQ30" i="42" s="1"/>
  <c r="EB15" i="42"/>
  <c r="CK10" i="42"/>
  <c r="EC10" i="42" s="1"/>
  <c r="CV10" i="42"/>
  <c r="DS10" i="42"/>
  <c r="DT10" i="42" s="1"/>
  <c r="DR11" i="42"/>
  <c r="CU11" i="42"/>
  <c r="CB12" i="42"/>
  <c r="BH17" i="42"/>
  <c r="BI17" i="42" s="1"/>
  <c r="BJ17" i="42" s="1"/>
  <c r="BK17" i="42" s="1"/>
  <c r="CM43" i="42"/>
  <c r="EE43" i="42" s="1"/>
  <c r="CX43" i="42"/>
  <c r="CF19" i="42"/>
  <c r="AT11" i="42"/>
  <c r="BP11" i="42" s="1"/>
  <c r="CT34" i="42"/>
  <c r="CI34" i="42"/>
  <c r="EA34" i="42" s="1"/>
  <c r="BR10" i="42"/>
  <c r="CT12" i="42"/>
  <c r="BN16" i="42"/>
  <c r="BN48" i="42" s="1"/>
  <c r="CT21" i="42"/>
  <c r="CW21" i="42"/>
  <c r="CD23" i="42"/>
  <c r="CI30" i="42"/>
  <c r="EA30" i="42" s="1"/>
  <c r="CT30" i="42"/>
  <c r="CJ36" i="42"/>
  <c r="EB36" i="42" s="1"/>
  <c r="CU36" i="42"/>
  <c r="CN14" i="42"/>
  <c r="EF14" i="42" s="1"/>
  <c r="CY14" i="42"/>
  <c r="CK15" i="42"/>
  <c r="CN17" i="42"/>
  <c r="EF17" i="42" s="1"/>
  <c r="BJ8" i="42"/>
  <c r="DW10" i="42"/>
  <c r="DX10" i="42" s="1"/>
  <c r="DY10" i="42" s="1"/>
  <c r="CV11" i="42"/>
  <c r="CB18" i="42"/>
  <c r="CL18" i="42"/>
  <c r="BS22" i="42"/>
  <c r="CZ22" i="42" s="1"/>
  <c r="BM48" i="42"/>
  <c r="CU8" i="42"/>
  <c r="CV9" i="42"/>
  <c r="BS10" i="42"/>
  <c r="CW13" i="42"/>
  <c r="CE16" i="42"/>
  <c r="CU17" i="42"/>
  <c r="CT17" i="42"/>
  <c r="CT18" i="42"/>
  <c r="BH20" i="42"/>
  <c r="BI20" i="42" s="1"/>
  <c r="BJ20" i="42" s="1"/>
  <c r="BK20" i="42" s="1"/>
  <c r="BR20" i="42"/>
  <c r="CU21" i="42"/>
  <c r="CJ21" i="42"/>
  <c r="CK23" i="42"/>
  <c r="CK25" i="42"/>
  <c r="CA25" i="42"/>
  <c r="CW39" i="42"/>
  <c r="CL39" i="42"/>
  <c r="ED39" i="42" s="1"/>
  <c r="CV17" i="42"/>
  <c r="EB18" i="42"/>
  <c r="BU27" i="42"/>
  <c r="DB27" i="42" s="1"/>
  <c r="AO27" i="42"/>
  <c r="BV27" i="42" s="1"/>
  <c r="DC27" i="42" s="1"/>
  <c r="CT32" i="42"/>
  <c r="O8" i="42"/>
  <c r="CJ12" i="42"/>
  <c r="EB12" i="42" s="1"/>
  <c r="CM14" i="42"/>
  <c r="CW17" i="42"/>
  <c r="CL17" i="42"/>
  <c r="CT19" i="42"/>
  <c r="CI19" i="42"/>
  <c r="EA19" i="42" s="1"/>
  <c r="CJ19" i="42"/>
  <c r="CU19" i="42"/>
  <c r="CJ20" i="42"/>
  <c r="EB20" i="42" s="1"/>
  <c r="CU20" i="42"/>
  <c r="CN38" i="42"/>
  <c r="EF38" i="42" s="1"/>
  <c r="CY38" i="42"/>
  <c r="DA42" i="42"/>
  <c r="CP42" i="42"/>
  <c r="EH42" i="42" s="1"/>
  <c r="BP12" i="42"/>
  <c r="CW12" i="42" s="1"/>
  <c r="CJ13" i="42"/>
  <c r="EB13" i="42" s="1"/>
  <c r="BG15" i="42"/>
  <c r="CE24" i="42"/>
  <c r="CI26" i="42"/>
  <c r="EA26" i="42" s="1"/>
  <c r="CT26" i="42"/>
  <c r="BQ8" i="42"/>
  <c r="DS9" i="42"/>
  <c r="DT9" i="42" s="1"/>
  <c r="CK13" i="42"/>
  <c r="EB14" i="42"/>
  <c r="BH15" i="42"/>
  <c r="AM17" i="42"/>
  <c r="CW20" i="42"/>
  <c r="AL28" i="42"/>
  <c r="BR28" i="42"/>
  <c r="CY28" i="42" s="1"/>
  <c r="CL10" i="42"/>
  <c r="ED10" i="42" s="1"/>
  <c r="BS14" i="42"/>
  <c r="AM14" i="42"/>
  <c r="BP15" i="42"/>
  <c r="CU18" i="42"/>
  <c r="CX20" i="42"/>
  <c r="BR21" i="42"/>
  <c r="AL21" i="42"/>
  <c r="CB28" i="42"/>
  <c r="CL28" i="42"/>
  <c r="CZ33" i="42"/>
  <c r="DC40" i="42"/>
  <c r="CR40" i="42"/>
  <c r="EJ40" i="42" s="1"/>
  <c r="CO45" i="42"/>
  <c r="EG45" i="42" s="1"/>
  <c r="CZ45" i="42"/>
  <c r="CM10" i="42"/>
  <c r="EE10" i="42" s="1"/>
  <c r="CM11" i="42"/>
  <c r="BV22" i="42"/>
  <c r="DC22" i="42" s="1"/>
  <c r="T22" i="42"/>
  <c r="Q25" i="42"/>
  <c r="BS25" i="42"/>
  <c r="CZ25" i="42" s="1"/>
  <c r="CZ35" i="42"/>
  <c r="CR44" i="42"/>
  <c r="EJ44" i="42" s="1"/>
  <c r="DC44" i="42"/>
  <c r="CL9" i="42"/>
  <c r="ED9" i="42" s="1"/>
  <c r="N19" i="42"/>
  <c r="BQ19" i="42" s="1"/>
  <c r="BQ12" i="42"/>
  <c r="CX12" i="42" s="1"/>
  <c r="O12" i="42"/>
  <c r="CK17" i="42"/>
  <c r="BT20" i="42"/>
  <c r="AN20" i="42"/>
  <c r="BR24" i="42"/>
  <c r="AA24" i="42"/>
  <c r="BR26" i="42"/>
  <c r="CY26" i="42" s="1"/>
  <c r="AA26" i="42"/>
  <c r="CM20" i="42"/>
  <c r="CI21" i="42"/>
  <c r="EA21" i="42" s="1"/>
  <c r="CJ22" i="42"/>
  <c r="EB22" i="42" s="1"/>
  <c r="CX24" i="42"/>
  <c r="CO29" i="42"/>
  <c r="CZ29" i="42"/>
  <c r="CL37" i="42"/>
  <c r="ED37" i="42" s="1"/>
  <c r="BS27" i="42"/>
  <c r="CZ27" i="42" s="1"/>
  <c r="CX47" i="42"/>
  <c r="CM47" i="42"/>
  <c r="EE47" i="42" s="1"/>
  <c r="CV20" i="42"/>
  <c r="CK20" i="42"/>
  <c r="CT23" i="42"/>
  <c r="CI25" i="42"/>
  <c r="EA25" i="42" s="1"/>
  <c r="DC29" i="42"/>
  <c r="CR29" i="42"/>
  <c r="CI35" i="42"/>
  <c r="EA35" i="42" s="1"/>
  <c r="CT35" i="42"/>
  <c r="CQ40" i="42"/>
  <c r="EI40" i="42" s="1"/>
  <c r="CV24" i="42"/>
  <c r="CK24" i="42"/>
  <c r="EB26" i="42"/>
  <c r="CT31" i="42"/>
  <c r="CI31" i="42"/>
  <c r="EA31" i="42" s="1"/>
  <c r="EF31" i="42"/>
  <c r="CT33" i="42"/>
  <c r="CI33" i="42"/>
  <c r="EA33" i="42" s="1"/>
  <c r="EF33" i="42"/>
  <c r="CO34" i="42"/>
  <c r="CZ34" i="42"/>
  <c r="CM40" i="42"/>
  <c r="EE40" i="42" s="1"/>
  <c r="CX40" i="42"/>
  <c r="CB22" i="42"/>
  <c r="BR23" i="42"/>
  <c r="CY23" i="42" s="1"/>
  <c r="CJ42" i="42"/>
  <c r="EB42" i="42" s="1"/>
  <c r="CU42" i="42"/>
  <c r="CX44" i="42"/>
  <c r="CM44" i="42"/>
  <c r="EE44" i="42" s="1"/>
  <c r="CI45" i="42"/>
  <c r="EA45" i="42" s="1"/>
  <c r="CT45" i="42"/>
  <c r="P23" i="42"/>
  <c r="BO25" i="42"/>
  <c r="CV25" i="42" s="1"/>
  <c r="AS26" i="42"/>
  <c r="BO26" i="42" s="1"/>
  <c r="CV26" i="42" s="1"/>
  <c r="CA26" i="42"/>
  <c r="CW28" i="42"/>
  <c r="CV42" i="42"/>
  <c r="CK42" i="42"/>
  <c r="EC42" i="42" s="1"/>
  <c r="BP25" i="42"/>
  <c r="CW25" i="42" s="1"/>
  <c r="AT26" i="42"/>
  <c r="BP26" i="42" s="1"/>
  <c r="CW26" i="42" s="1"/>
  <c r="CX28" i="42"/>
  <c r="CL33" i="42"/>
  <c r="CW33" i="42"/>
  <c r="CW42" i="42"/>
  <c r="CL42" i="42"/>
  <c r="ED42" i="42" s="1"/>
  <c r="BR22" i="42"/>
  <c r="CY22" i="42" s="1"/>
  <c r="CV22" i="42"/>
  <c r="DC30" i="42"/>
  <c r="CR30" i="42"/>
  <c r="CT38" i="42"/>
  <c r="CI39" i="42"/>
  <c r="EA39" i="42" s="1"/>
  <c r="CT39" i="42"/>
  <c r="CV41" i="42"/>
  <c r="CU24" i="42"/>
  <c r="CO30" i="42"/>
  <c r="CZ30" i="42"/>
  <c r="CW43" i="42"/>
  <c r="CL43" i="42"/>
  <c r="ED43" i="42" s="1"/>
  <c r="CB27" i="42"/>
  <c r="CL27" i="42"/>
  <c r="CR33" i="42"/>
  <c r="DC33" i="42"/>
  <c r="CX37" i="42"/>
  <c r="CM37" i="42"/>
  <c r="EE37" i="42" s="1"/>
  <c r="CO39" i="42"/>
  <c r="EG39" i="42" s="1"/>
  <c r="CZ39" i="42"/>
  <c r="DB42" i="42"/>
  <c r="CQ42" i="42"/>
  <c r="EI42" i="42" s="1"/>
  <c r="CK27" i="42"/>
  <c r="EF30" i="42"/>
  <c r="CU34" i="42"/>
  <c r="CJ34" i="42"/>
  <c r="DC36" i="42"/>
  <c r="DC45" i="42"/>
  <c r="CR45" i="42"/>
  <c r="EJ45" i="42" s="1"/>
  <c r="CU37" i="42"/>
  <c r="CJ37" i="42"/>
  <c r="EB37" i="42" s="1"/>
  <c r="EF32" i="42"/>
  <c r="BR25" i="42"/>
  <c r="CY25" i="42" s="1"/>
  <c r="BR27" i="42"/>
  <c r="CY27" i="42" s="1"/>
  <c r="DB30" i="42"/>
  <c r="CQ30" i="42"/>
  <c r="CW36" i="42"/>
  <c r="CL36" i="42"/>
  <c r="ED36" i="42" s="1"/>
  <c r="DA31" i="42"/>
  <c r="DA39" i="42"/>
  <c r="CW41" i="42"/>
  <c r="CV44" i="42"/>
  <c r="CP45" i="42"/>
  <c r="EH45" i="42" s="1"/>
  <c r="DA45" i="42"/>
  <c r="CK47" i="42"/>
  <c r="EC47" i="42" s="1"/>
  <c r="CV47" i="42"/>
  <c r="DB31" i="42"/>
  <c r="CL47" i="42"/>
  <c r="ED47" i="42" s="1"/>
  <c r="CW47" i="42"/>
  <c r="CM46" i="42"/>
  <c r="EE46" i="42" s="1"/>
  <c r="CX46" i="42"/>
  <c r="DB47" i="42"/>
  <c r="CN46" i="42"/>
  <c r="EF46" i="42" s="1"/>
  <c r="CY46" i="42"/>
  <c r="DC47" i="42"/>
  <c r="CR47" i="42"/>
  <c r="EJ47" i="42" s="1"/>
  <c r="FO12" i="34"/>
  <c r="FL11" i="34"/>
  <c r="FM11" i="34"/>
  <c r="FX10" i="34"/>
  <c r="FN11" i="34"/>
  <c r="EM10" i="34"/>
  <c r="ER36" i="34"/>
  <c r="EL14" i="34"/>
  <c r="EO33" i="34"/>
  <c r="CL13" i="34"/>
  <c r="DH13" i="34" s="1"/>
  <c r="EP11" i="34"/>
  <c r="EP38" i="34"/>
  <c r="EQ11" i="34"/>
  <c r="EN23" i="34"/>
  <c r="EM34" i="34"/>
  <c r="EL43" i="34"/>
  <c r="EO23" i="34"/>
  <c r="CI35" i="34"/>
  <c r="EL31" i="34"/>
  <c r="EQ39" i="34"/>
  <c r="EP8" i="34"/>
  <c r="EP12" i="34"/>
  <c r="EO31" i="34"/>
  <c r="EQ8" i="34"/>
  <c r="EQ12" i="34"/>
  <c r="EQ19" i="34"/>
  <c r="EP31" i="34"/>
  <c r="ES39" i="34"/>
  <c r="ER8" i="34"/>
  <c r="ER21" i="34"/>
  <c r="CL32" i="34"/>
  <c r="DH32" i="34" s="1"/>
  <c r="ES12" i="34"/>
  <c r="ES21" i="34"/>
  <c r="EL9" i="34"/>
  <c r="EL13" i="34"/>
  <c r="EQ16" i="34"/>
  <c r="EL10" i="34"/>
  <c r="EL22" i="34"/>
  <c r="EM33" i="34"/>
  <c r="EL41" i="34"/>
  <c r="EM14" i="34"/>
  <c r="EM44" i="34" s="1"/>
  <c r="ES16" i="34"/>
  <c r="EN18" i="34"/>
  <c r="ET31" i="34"/>
  <c r="EQ34" i="34"/>
  <c r="EQ42" i="34"/>
  <c r="CK31" i="34"/>
  <c r="DG31" i="34" s="1"/>
  <c r="EO18" i="34"/>
  <c r="ER19" i="34"/>
  <c r="EL40" i="34"/>
  <c r="CJ20" i="34"/>
  <c r="CP32" i="34"/>
  <c r="DL32" i="34" s="1"/>
  <c r="CM33" i="34"/>
  <c r="DI33" i="34" s="1"/>
  <c r="EP10" i="34"/>
  <c r="ES11" i="34"/>
  <c r="EM13" i="34"/>
  <c r="EP14" i="34"/>
  <c r="ES19" i="34"/>
  <c r="EM21" i="34"/>
  <c r="EP37" i="34"/>
  <c r="EM40" i="34"/>
  <c r="EP41" i="34"/>
  <c r="EM18" i="34"/>
  <c r="EP23" i="34"/>
  <c r="EM37" i="34"/>
  <c r="EQ14" i="34"/>
  <c r="EN17" i="34"/>
  <c r="EN21" i="34"/>
  <c r="EQ37" i="34"/>
  <c r="EN40" i="34"/>
  <c r="ET42" i="34"/>
  <c r="EO9" i="34"/>
  <c r="EL12" i="34"/>
  <c r="EO17" i="34"/>
  <c r="EL39" i="34"/>
  <c r="EM8" i="34"/>
  <c r="EP9" i="34"/>
  <c r="ES10" i="34"/>
  <c r="EP13" i="34"/>
  <c r="ES18" i="34"/>
  <c r="EP36" i="34"/>
  <c r="EM39" i="34"/>
  <c r="EP40" i="34"/>
  <c r="EN8" i="34"/>
  <c r="EQ9" i="34"/>
  <c r="EN16" i="34"/>
  <c r="EN20" i="34"/>
  <c r="EQ21" i="34"/>
  <c r="EQ32" i="34"/>
  <c r="ET33" i="34"/>
  <c r="EQ36" i="34"/>
  <c r="EQ40" i="34"/>
  <c r="EL11" i="34"/>
  <c r="ER17" i="34"/>
  <c r="EO20" i="34"/>
  <c r="ER32" i="34"/>
  <c r="EO35" i="34"/>
  <c r="EL38" i="34"/>
  <c r="EL42" i="34"/>
  <c r="EM11" i="34"/>
  <c r="ES13" i="34"/>
  <c r="EM38" i="34"/>
  <c r="EP39" i="34"/>
  <c r="EQ20" i="34"/>
  <c r="ER16" i="34"/>
  <c r="EL37" i="34"/>
  <c r="ES20" i="34"/>
  <c r="ES35" i="34"/>
  <c r="EM41" i="34"/>
  <c r="EP42" i="34"/>
  <c r="CQ34" i="34"/>
  <c r="DM34" i="34" s="1"/>
  <c r="CP33" i="34"/>
  <c r="DL33" i="34" s="1"/>
  <c r="CK35" i="34"/>
  <c r="DG35" i="34" s="1"/>
  <c r="CO14" i="34"/>
  <c r="DK14" i="34" s="1"/>
  <c r="CP23" i="34"/>
  <c r="DL23" i="34" s="1"/>
  <c r="BV8" i="34"/>
  <c r="CP42" i="34"/>
  <c r="DL42" i="34" s="1"/>
  <c r="CQ11" i="34"/>
  <c r="DM11" i="34" s="1"/>
  <c r="EI11" i="34" s="1"/>
  <c r="BV10" i="34"/>
  <c r="M8" i="17" s="1"/>
  <c r="CM15" i="34"/>
  <c r="DI15" i="34" s="1"/>
  <c r="CN17" i="34"/>
  <c r="DJ17" i="34" s="1"/>
  <c r="CL10" i="34"/>
  <c r="CP15" i="34"/>
  <c r="DL15" i="34" s="1"/>
  <c r="EH15" i="34" s="1"/>
  <c r="CN31" i="34"/>
  <c r="DJ31" i="34" s="1"/>
  <c r="CK41" i="34"/>
  <c r="DG41" i="34" s="1"/>
  <c r="EC41" i="34" s="1"/>
  <c r="BV9" i="34"/>
  <c r="M7" i="17" s="1"/>
  <c r="CM20" i="34"/>
  <c r="DI20" i="34" s="1"/>
  <c r="CL41" i="34"/>
  <c r="DH41" i="34" s="1"/>
  <c r="ED41" i="34" s="1"/>
  <c r="CJ36" i="34"/>
  <c r="DF36" i="34" s="1"/>
  <c r="EB36" i="34" s="1"/>
  <c r="EB41" i="34"/>
  <c r="CQ14" i="34"/>
  <c r="DM14" i="34" s="1"/>
  <c r="CM18" i="34"/>
  <c r="CK32" i="34"/>
  <c r="DG32" i="34" s="1"/>
  <c r="CK37" i="34"/>
  <c r="DG37" i="34" s="1"/>
  <c r="CI16" i="34"/>
  <c r="DE16" i="34" s="1"/>
  <c r="CI23" i="34"/>
  <c r="CL37" i="34"/>
  <c r="DH37" i="34" s="1"/>
  <c r="CJ42" i="34"/>
  <c r="DF42" i="34" s="1"/>
  <c r="CI21" i="34"/>
  <c r="DE21" i="34" s="1"/>
  <c r="EA21" i="34" s="1"/>
  <c r="CL38" i="34"/>
  <c r="DH38" i="34" s="1"/>
  <c r="CO42" i="34"/>
  <c r="DK42" i="34" s="1"/>
  <c r="CQ13" i="34"/>
  <c r="DM13" i="34" s="1"/>
  <c r="EI13" i="34" s="1"/>
  <c r="CO43" i="34"/>
  <c r="DK43" i="34" s="1"/>
  <c r="CL22" i="34"/>
  <c r="DH22" i="34" s="1"/>
  <c r="ED22" i="34" s="1"/>
  <c r="CO34" i="34"/>
  <c r="DK34" i="34" s="1"/>
  <c r="CQ35" i="34"/>
  <c r="DM35" i="34" s="1"/>
  <c r="CP36" i="34"/>
  <c r="DL36" i="34" s="1"/>
  <c r="CL39" i="34"/>
  <c r="CP40" i="34"/>
  <c r="DL40" i="34" s="1"/>
  <c r="CI15" i="34"/>
  <c r="DE15" i="34" s="1"/>
  <c r="CO22" i="34"/>
  <c r="DK22" i="34" s="1"/>
  <c r="EG22" i="34" s="1"/>
  <c r="EB23" i="34"/>
  <c r="ED31" i="34"/>
  <c r="CP34" i="34"/>
  <c r="DL34" i="34" s="1"/>
  <c r="CK38" i="34"/>
  <c r="DG38" i="34" s="1"/>
  <c r="CO39" i="34"/>
  <c r="DK39" i="34" s="1"/>
  <c r="DF34" i="34"/>
  <c r="EB34" i="34" s="1"/>
  <c r="CQ8" i="34"/>
  <c r="DM8" i="34" s="1"/>
  <c r="EI8" i="34" s="1"/>
  <c r="FY8" i="34" s="1"/>
  <c r="CQ15" i="34"/>
  <c r="DM15" i="34" s="1"/>
  <c r="EI15" i="34" s="1"/>
  <c r="EB18" i="34"/>
  <c r="CJ32" i="34"/>
  <c r="DF32" i="34" s="1"/>
  <c r="EB32" i="34" s="1"/>
  <c r="CO33" i="34"/>
  <c r="DK33" i="34" s="1"/>
  <c r="CK42" i="34"/>
  <c r="DG42" i="34" s="1"/>
  <c r="EC42" i="34" s="1"/>
  <c r="CN43" i="34"/>
  <c r="DJ43" i="34" s="1"/>
  <c r="CQ10" i="34"/>
  <c r="DM10" i="34" s="1"/>
  <c r="EI10" i="34" s="1"/>
  <c r="FY10" i="34" s="1"/>
  <c r="CL42" i="34"/>
  <c r="CM17" i="34"/>
  <c r="DI17" i="34" s="1"/>
  <c r="EE17" i="34" s="1"/>
  <c r="CP43" i="34"/>
  <c r="DL43" i="34" s="1"/>
  <c r="CQ32" i="34"/>
  <c r="DM32" i="34" s="1"/>
  <c r="ED33" i="34"/>
  <c r="CO37" i="34"/>
  <c r="DK37" i="34" s="1"/>
  <c r="CP41" i="34"/>
  <c r="DL41" i="34" s="1"/>
  <c r="EH11" i="34"/>
  <c r="CO23" i="34"/>
  <c r="DK23" i="34" s="1"/>
  <c r="CO31" i="34"/>
  <c r="DK31" i="34" s="1"/>
  <c r="CK36" i="34"/>
  <c r="DG36" i="34" s="1"/>
  <c r="CP37" i="34"/>
  <c r="DL37" i="34" s="1"/>
  <c r="ED43" i="34"/>
  <c r="BV12" i="34"/>
  <c r="M10" i="17" s="1"/>
  <c r="CI19" i="34"/>
  <c r="CL40" i="34"/>
  <c r="DH40" i="34" s="1"/>
  <c r="CQ19" i="34"/>
  <c r="DM19" i="34" s="1"/>
  <c r="EI19" i="34" s="1"/>
  <c r="CK34" i="34"/>
  <c r="CK39" i="34"/>
  <c r="DG39" i="34" s="1"/>
  <c r="CO40" i="34"/>
  <c r="DK40" i="34" s="1"/>
  <c r="CG11" i="34"/>
  <c r="CQ16" i="34"/>
  <c r="DM16" i="34" s="1"/>
  <c r="EI16" i="34" s="1"/>
  <c r="CG14" i="34"/>
  <c r="CQ12" i="34"/>
  <c r="CG12" i="34"/>
  <c r="CO15" i="34"/>
  <c r="DF20" i="34"/>
  <c r="EB20" i="34" s="1"/>
  <c r="AD17" i="34"/>
  <c r="BV16" i="34"/>
  <c r="CQ9" i="34"/>
  <c r="CG9" i="34"/>
  <c r="CG10" i="34"/>
  <c r="BV11" i="34"/>
  <c r="M9" i="17" s="1"/>
  <c r="CO12" i="34"/>
  <c r="DK16" i="34"/>
  <c r="EG16" i="34" s="1"/>
  <c r="CN38" i="34"/>
  <c r="DJ38" i="34" s="1"/>
  <c r="DI12" i="34"/>
  <c r="EE12" i="34" s="1"/>
  <c r="DG18" i="34"/>
  <c r="EC18" i="34" s="1"/>
  <c r="EF42" i="34"/>
  <c r="CO9" i="34"/>
  <c r="CK10" i="34"/>
  <c r="DL12" i="34"/>
  <c r="EH12" i="34" s="1"/>
  <c r="EE13" i="34"/>
  <c r="EE14" i="34"/>
  <c r="BV15" i="34"/>
  <c r="EF20" i="34"/>
  <c r="FV20" i="34" s="1"/>
  <c r="DF13" i="34"/>
  <c r="EB13" i="34" s="1"/>
  <c r="CP9" i="34"/>
  <c r="DE12" i="34"/>
  <c r="EA12" i="34" s="1"/>
  <c r="EF14" i="34"/>
  <c r="FV14" i="34" s="1"/>
  <c r="DF14" i="34"/>
  <c r="EB14" i="34" s="1"/>
  <c r="CI8" i="34"/>
  <c r="DE9" i="34"/>
  <c r="EA9" i="34" s="1"/>
  <c r="DE10" i="34"/>
  <c r="EA10" i="34" s="1"/>
  <c r="CK11" i="34"/>
  <c r="CJ19" i="34"/>
  <c r="DE23" i="34"/>
  <c r="EA23" i="34" s="1"/>
  <c r="EF35" i="34"/>
  <c r="EC8" i="34"/>
  <c r="DF10" i="34"/>
  <c r="EB10" i="34" s="1"/>
  <c r="DE11" i="34"/>
  <c r="EA11" i="34" s="1"/>
  <c r="CL11" i="34"/>
  <c r="DL13" i="34"/>
  <c r="EH13" i="34" s="1"/>
  <c r="DL14" i="34"/>
  <c r="EH14" i="34" s="1"/>
  <c r="DL21" i="34"/>
  <c r="EH21" i="34" s="1"/>
  <c r="DK8" i="34"/>
  <c r="EG8" i="34" s="1"/>
  <c r="FW8" i="34" s="1"/>
  <c r="CL8" i="34"/>
  <c r="DF8" i="34"/>
  <c r="EB8" i="34" s="1"/>
  <c r="DF11" i="34"/>
  <c r="EB11" i="34" s="1"/>
  <c r="CO11" i="34"/>
  <c r="DH12" i="34"/>
  <c r="ED12" i="34"/>
  <c r="BV13" i="34"/>
  <c r="M11" i="17" s="1"/>
  <c r="BV14" i="34"/>
  <c r="M12" i="17" s="1"/>
  <c r="CM34" i="34"/>
  <c r="CN35" i="34"/>
  <c r="DJ35" i="34" s="1"/>
  <c r="DH9" i="34"/>
  <c r="ED9" i="34" s="1"/>
  <c r="DI9" i="34"/>
  <c r="EE9" i="34"/>
  <c r="DJ12" i="34"/>
  <c r="EF12" i="34" s="1"/>
  <c r="FV12" i="34" s="1"/>
  <c r="CG13" i="34"/>
  <c r="DJ9" i="34"/>
  <c r="EF9" i="34" s="1"/>
  <c r="FV9" i="34" s="1"/>
  <c r="EE11" i="34"/>
  <c r="CK13" i="34"/>
  <c r="CK14" i="34"/>
  <c r="DG16" i="34"/>
  <c r="EC16" i="34" s="1"/>
  <c r="CI17" i="34"/>
  <c r="DL20" i="34"/>
  <c r="EH20" i="34" s="1"/>
  <c r="DE22" i="34"/>
  <c r="EA22" i="34" s="1"/>
  <c r="EE10" i="34"/>
  <c r="EB16" i="34"/>
  <c r="EF8" i="34"/>
  <c r="FV8" i="34" s="1"/>
  <c r="EE8" i="34"/>
  <c r="DL10" i="34"/>
  <c r="EH10" i="34" s="1"/>
  <c r="EF11" i="34"/>
  <c r="FV11" i="34" s="1"/>
  <c r="EA13" i="34"/>
  <c r="DE14" i="34"/>
  <c r="EA14" i="34"/>
  <c r="CL14" i="34"/>
  <c r="DI31" i="34"/>
  <c r="EE31" i="34" s="1"/>
  <c r="CN33" i="34"/>
  <c r="DJ33" i="34" s="1"/>
  <c r="CJ15" i="34"/>
  <c r="EG17" i="34"/>
  <c r="DG19" i="34"/>
  <c r="EC19" i="34" s="1"/>
  <c r="DI23" i="34"/>
  <c r="EE23" i="34" s="1"/>
  <c r="CM32" i="34"/>
  <c r="EE39" i="34"/>
  <c r="CQ40" i="34"/>
  <c r="DM40" i="34" s="1"/>
  <c r="CN41" i="34"/>
  <c r="DJ41" i="34" s="1"/>
  <c r="DH18" i="34"/>
  <c r="ED18" i="34" s="1"/>
  <c r="CQ37" i="34"/>
  <c r="DM37" i="34" s="1"/>
  <c r="CJ9" i="34"/>
  <c r="CN10" i="34"/>
  <c r="CJ12" i="34"/>
  <c r="CN13" i="34"/>
  <c r="CK15" i="34"/>
  <c r="DG20" i="34"/>
  <c r="EC20" i="34" s="1"/>
  <c r="DG21" i="34"/>
  <c r="EC21" i="34" s="1"/>
  <c r="CN23" i="34"/>
  <c r="CQ38" i="34"/>
  <c r="DM38" i="34" s="1"/>
  <c r="CO41" i="34"/>
  <c r="DK41" i="34" s="1"/>
  <c r="CP8" i="34"/>
  <c r="CK9" i="34"/>
  <c r="CO10" i="34"/>
  <c r="CK12" i="34"/>
  <c r="CO13" i="34"/>
  <c r="CL15" i="34"/>
  <c r="EG18" i="34"/>
  <c r="DH20" i="34"/>
  <c r="ED20" i="34" s="1"/>
  <c r="EC32" i="34"/>
  <c r="DF33" i="34"/>
  <c r="EB33" i="34" s="1"/>
  <c r="CJ43" i="34"/>
  <c r="EE15" i="34"/>
  <c r="EH18" i="34"/>
  <c r="DK19" i="34"/>
  <c r="EG19" i="34" s="1"/>
  <c r="CJ31" i="34"/>
  <c r="CK33" i="34"/>
  <c r="CJ22" i="34"/>
  <c r="CN15" i="34"/>
  <c r="DL19" i="34"/>
  <c r="EH19" i="34" s="1"/>
  <c r="DE35" i="34"/>
  <c r="EA35" i="34" s="1"/>
  <c r="CQ39" i="34"/>
  <c r="DM39" i="34" s="1"/>
  <c r="DL16" i="34"/>
  <c r="EH16" i="34" s="1"/>
  <c r="EB21" i="34"/>
  <c r="CJ17" i="34"/>
  <c r="EF19" i="34"/>
  <c r="FV19" i="34" s="1"/>
  <c r="CQ36" i="34"/>
  <c r="DM36" i="34" s="1"/>
  <c r="EA38" i="34"/>
  <c r="DI18" i="34"/>
  <c r="EE18" i="34" s="1"/>
  <c r="CQ21" i="34"/>
  <c r="CO35" i="34"/>
  <c r="DK35" i="34" s="1"/>
  <c r="DG17" i="34"/>
  <c r="EC17" i="34" s="1"/>
  <c r="CN18" i="34"/>
  <c r="CI32" i="34"/>
  <c r="EE33" i="34"/>
  <c r="DI40" i="34"/>
  <c r="EE40" i="34" s="1"/>
  <c r="DH23" i="34"/>
  <c r="ED23" i="34" s="1"/>
  <c r="DI37" i="34"/>
  <c r="EE37" i="34" s="1"/>
  <c r="EA16" i="34"/>
  <c r="DH17" i="34"/>
  <c r="ED17" i="34" s="1"/>
  <c r="CQ18" i="34"/>
  <c r="CI20" i="34"/>
  <c r="CK22" i="34"/>
  <c r="CL34" i="34"/>
  <c r="CI36" i="34"/>
  <c r="DI38" i="34"/>
  <c r="EE38" i="34" s="1"/>
  <c r="CO20" i="34"/>
  <c r="DK21" i="34"/>
  <c r="EG21" i="34" s="1"/>
  <c r="CM22" i="34"/>
  <c r="CQ23" i="34"/>
  <c r="EC23" i="34"/>
  <c r="CP31" i="34"/>
  <c r="DL31" i="34" s="1"/>
  <c r="ED32" i="34"/>
  <c r="CJ35" i="34"/>
  <c r="CL36" i="34"/>
  <c r="EA39" i="34"/>
  <c r="CL16" i="34"/>
  <c r="CP17" i="34"/>
  <c r="CL19" i="34"/>
  <c r="CL21" i="34"/>
  <c r="CN22" i="34"/>
  <c r="EB39" i="34"/>
  <c r="CQ43" i="34"/>
  <c r="DM43" i="34" s="1"/>
  <c r="CM16" i="34"/>
  <c r="CQ17" i="34"/>
  <c r="CI18" i="34"/>
  <c r="CM19" i="34"/>
  <c r="CQ20" i="34"/>
  <c r="CM21" i="34"/>
  <c r="EA37" i="34"/>
  <c r="EA40" i="34"/>
  <c r="EC40" i="34"/>
  <c r="CP22" i="34"/>
  <c r="CI33" i="34"/>
  <c r="EE36" i="34"/>
  <c r="EB37" i="34"/>
  <c r="ED37" i="34"/>
  <c r="CP38" i="34"/>
  <c r="DL38" i="34" s="1"/>
  <c r="EB40" i="34"/>
  <c r="CQ41" i="34"/>
  <c r="DM41" i="34" s="1"/>
  <c r="CQ22" i="34"/>
  <c r="EE41" i="34"/>
  <c r="EA43" i="34"/>
  <c r="EA42" i="34"/>
  <c r="DI43" i="34"/>
  <c r="EE43" i="34" s="1"/>
  <c r="CK43" i="34"/>
  <c r="G263" i="28"/>
  <c r="G267" i="28"/>
  <c r="G261" i="28"/>
  <c r="G266" i="28" s="1"/>
  <c r="G53" i="36"/>
  <c r="H53" i="36" s="1"/>
  <c r="I53" i="36" s="1"/>
  <c r="J53" i="36" s="1"/>
  <c r="K53" i="36" s="1"/>
  <c r="L53" i="36" s="1"/>
  <c r="M53" i="36" s="1"/>
  <c r="N53" i="36" s="1"/>
  <c r="O53" i="36" s="1"/>
  <c r="B212" i="12"/>
  <c r="B211" i="12"/>
  <c r="B210" i="12"/>
  <c r="B209" i="12"/>
  <c r="B208" i="12"/>
  <c r="B207" i="12"/>
  <c r="B206" i="12"/>
  <c r="B205" i="12"/>
  <c r="F64" i="36"/>
  <c r="EI14" i="34" l="1"/>
  <c r="CR8" i="34"/>
  <c r="DN8" i="34" s="1"/>
  <c r="EJ8" i="34" s="1"/>
  <c r="FZ8" i="34" s="1"/>
  <c r="M6" i="17"/>
  <c r="FC12" i="34"/>
  <c r="CR10" i="34"/>
  <c r="FA19" i="34"/>
  <c r="CR16" i="34"/>
  <c r="M14" i="17"/>
  <c r="CR15" i="34"/>
  <c r="M13" i="17"/>
  <c r="FA8" i="34"/>
  <c r="G264" i="28"/>
  <c r="G269" i="28" s="1"/>
  <c r="G268" i="28"/>
  <c r="EB25" i="42"/>
  <c r="CK8" i="42"/>
  <c r="EB29" i="42"/>
  <c r="BS20" i="42"/>
  <c r="M16" i="42"/>
  <c r="BP16" i="42" s="1"/>
  <c r="BP48" i="42" s="1"/>
  <c r="N9" i="42"/>
  <c r="EB21" i="42"/>
  <c r="EA48" i="42"/>
  <c r="CW19" i="42"/>
  <c r="CL19" i="42"/>
  <c r="BV10" i="42"/>
  <c r="BS13" i="42"/>
  <c r="AM13" i="42"/>
  <c r="BU10" i="42"/>
  <c r="CT48" i="42"/>
  <c r="DE35" i="42" s="1"/>
  <c r="P18" i="42"/>
  <c r="BS18" i="42" s="1"/>
  <c r="CZ18" i="42" s="1"/>
  <c r="Q11" i="42"/>
  <c r="DE37" i="42"/>
  <c r="DE36" i="42"/>
  <c r="DE40" i="42"/>
  <c r="DE43" i="42"/>
  <c r="DE14" i="42"/>
  <c r="DE25" i="42"/>
  <c r="DE27" i="42"/>
  <c r="DE47" i="42"/>
  <c r="DE28" i="42"/>
  <c r="DE42" i="42"/>
  <c r="DE15" i="42"/>
  <c r="DE9" i="42"/>
  <c r="DE24" i="42"/>
  <c r="DE20" i="42"/>
  <c r="BR11" i="42"/>
  <c r="AW11" i="42"/>
  <c r="AB24" i="42"/>
  <c r="BS24" i="42"/>
  <c r="BT25" i="42"/>
  <c r="DA25" i="42" s="1"/>
  <c r="R25" i="42"/>
  <c r="CN21" i="42"/>
  <c r="EF21" i="42" s="1"/>
  <c r="CY21" i="42"/>
  <c r="CI48" i="42"/>
  <c r="BO48" i="42"/>
  <c r="EB24" i="42"/>
  <c r="CN23" i="42"/>
  <c r="EF23" i="42" s="1"/>
  <c r="CM12" i="42"/>
  <c r="CC12" i="42"/>
  <c r="DE38" i="42"/>
  <c r="DW12" i="42"/>
  <c r="DX12" i="42" s="1"/>
  <c r="DY12" i="42" s="1"/>
  <c r="DV13" i="42"/>
  <c r="AC11" i="42"/>
  <c r="CY24" i="42"/>
  <c r="CN24" i="42"/>
  <c r="EF24" i="42" s="1"/>
  <c r="O15" i="42"/>
  <c r="BR15" i="42" s="1"/>
  <c r="BR8" i="42"/>
  <c r="P8" i="42"/>
  <c r="CZ10" i="42"/>
  <c r="CO10" i="42"/>
  <c r="EG10" i="42" s="1"/>
  <c r="CE23" i="42"/>
  <c r="CO23" i="42"/>
  <c r="CC27" i="42"/>
  <c r="CM27" i="42"/>
  <c r="CX8" i="42"/>
  <c r="CV48" i="42"/>
  <c r="DG9" i="42" s="1"/>
  <c r="CZ20" i="42"/>
  <c r="CO20" i="42"/>
  <c r="DQ31" i="42"/>
  <c r="EB30" i="42"/>
  <c r="EB28" i="42"/>
  <c r="DE23" i="42"/>
  <c r="CL12" i="42"/>
  <c r="CB26" i="42"/>
  <c r="CL26" i="42"/>
  <c r="EB17" i="42"/>
  <c r="CW15" i="42"/>
  <c r="CL15" i="42"/>
  <c r="AM28" i="42"/>
  <c r="BS28" i="42"/>
  <c r="CZ28" i="42" s="1"/>
  <c r="DE26" i="42"/>
  <c r="EB19" i="42"/>
  <c r="CN20" i="42"/>
  <c r="EF20" i="42" s="1"/>
  <c r="CY20" i="42"/>
  <c r="CL11" i="42"/>
  <c r="CW11" i="42"/>
  <c r="DC10" i="42"/>
  <c r="CR10" i="42"/>
  <c r="EJ10" i="42" s="1"/>
  <c r="CE15" i="42"/>
  <c r="EC12" i="42"/>
  <c r="BS21" i="42"/>
  <c r="AM21" i="42"/>
  <c r="AO20" i="42"/>
  <c r="BV20" i="42" s="1"/>
  <c r="BU20" i="42"/>
  <c r="EB27" i="42"/>
  <c r="DR12" i="42"/>
  <c r="DS11" i="42"/>
  <c r="DT11" i="42" s="1"/>
  <c r="EE11" i="42" s="1"/>
  <c r="CM8" i="42"/>
  <c r="CC8" i="42"/>
  <c r="DU35" i="42"/>
  <c r="EF35" i="42" s="1"/>
  <c r="EF34" i="42"/>
  <c r="DB10" i="42"/>
  <c r="CQ10" i="42"/>
  <c r="EI10" i="42" s="1"/>
  <c r="DG41" i="42"/>
  <c r="DE33" i="42"/>
  <c r="CP20" i="42"/>
  <c r="DA20" i="42"/>
  <c r="CM28" i="42"/>
  <c r="CC28" i="42"/>
  <c r="AN14" i="42"/>
  <c r="BT14" i="42"/>
  <c r="DE19" i="42"/>
  <c r="DE18" i="42"/>
  <c r="CU16" i="42"/>
  <c r="CJ16" i="42"/>
  <c r="ED8" i="42"/>
  <c r="BS23" i="42"/>
  <c r="CZ23" i="42" s="1"/>
  <c r="Q23" i="42"/>
  <c r="CK26" i="42"/>
  <c r="CO14" i="42"/>
  <c r="CZ14" i="42"/>
  <c r="DE17" i="42"/>
  <c r="CC18" i="42"/>
  <c r="CM18" i="42"/>
  <c r="DE12" i="42"/>
  <c r="CD9" i="42"/>
  <c r="BR12" i="42"/>
  <c r="CY12" i="42" s="1"/>
  <c r="P12" i="42"/>
  <c r="O19" i="42"/>
  <c r="BR19" i="42" s="1"/>
  <c r="BT17" i="42"/>
  <c r="AN17" i="42"/>
  <c r="CF24" i="42"/>
  <c r="CN10" i="42"/>
  <c r="EF10" i="42" s="1"/>
  <c r="CY10" i="42"/>
  <c r="CZ17" i="42"/>
  <c r="CO17" i="42"/>
  <c r="DA10" i="42"/>
  <c r="CP10" i="42"/>
  <c r="EH10" i="42" s="1"/>
  <c r="CF11" i="42"/>
  <c r="DE39" i="42"/>
  <c r="CM22" i="42"/>
  <c r="CC22" i="42"/>
  <c r="AB26" i="42"/>
  <c r="BS26" i="42"/>
  <c r="CZ26" i="42" s="1"/>
  <c r="CK48" i="42"/>
  <c r="EC8" i="42"/>
  <c r="CF16" i="42"/>
  <c r="CX19" i="42"/>
  <c r="CM19" i="42"/>
  <c r="EB23" i="42"/>
  <c r="CB25" i="42"/>
  <c r="CL25" i="42"/>
  <c r="BJ15" i="42"/>
  <c r="BK8" i="42"/>
  <c r="BK15" i="42" s="1"/>
  <c r="DE30" i="42"/>
  <c r="CG19" i="42"/>
  <c r="EC11" i="42"/>
  <c r="FO13" i="34"/>
  <c r="FN12" i="34"/>
  <c r="FY11" i="34"/>
  <c r="FM12" i="34"/>
  <c r="FX11" i="34"/>
  <c r="FL12" i="34"/>
  <c r="EO44" i="34"/>
  <c r="EC36" i="34"/>
  <c r="EQ44" i="34"/>
  <c r="FA16" i="34" s="1"/>
  <c r="EP44" i="34"/>
  <c r="ER44" i="34"/>
  <c r="ED40" i="34"/>
  <c r="EG14" i="34"/>
  <c r="ET44" i="34"/>
  <c r="FD17" i="34" s="1"/>
  <c r="ES44" i="34"/>
  <c r="FC21" i="34" s="1"/>
  <c r="EC31" i="34"/>
  <c r="ED13" i="34"/>
  <c r="EU42" i="34"/>
  <c r="EN44" i="34"/>
  <c r="EH23" i="34"/>
  <c r="EG42" i="34"/>
  <c r="EG35" i="34"/>
  <c r="EC39" i="34"/>
  <c r="EL44" i="34"/>
  <c r="EU11" i="34" s="1"/>
  <c r="EU32" i="34"/>
  <c r="EU18" i="34"/>
  <c r="EU34" i="34"/>
  <c r="EU15" i="34"/>
  <c r="EU40" i="34"/>
  <c r="EU12" i="34"/>
  <c r="EU31" i="34"/>
  <c r="EU13" i="34"/>
  <c r="ED38" i="34"/>
  <c r="EE20" i="34"/>
  <c r="EC35" i="34"/>
  <c r="EB42" i="34"/>
  <c r="EF17" i="34"/>
  <c r="FV17" i="34" s="1"/>
  <c r="DH10" i="34"/>
  <c r="ED10" i="34" s="1"/>
  <c r="EG23" i="34"/>
  <c r="CR14" i="34"/>
  <c r="DN14" i="34" s="1"/>
  <c r="EJ14" i="34" s="1"/>
  <c r="GA14" i="34" s="1"/>
  <c r="EC37" i="34"/>
  <c r="CR9" i="34"/>
  <c r="CR12" i="34"/>
  <c r="CR11" i="34"/>
  <c r="DN11" i="34" s="1"/>
  <c r="EJ11" i="34" s="1"/>
  <c r="DH42" i="34"/>
  <c r="ED42" i="34" s="1"/>
  <c r="DH39" i="34"/>
  <c r="ED39" i="34" s="1"/>
  <c r="EA15" i="34"/>
  <c r="DG34" i="34"/>
  <c r="EC34" i="34" s="1"/>
  <c r="DE19" i="34"/>
  <c r="EA19" i="34" s="1"/>
  <c r="EC38" i="34"/>
  <c r="CR13" i="34"/>
  <c r="DN13" i="34" s="1"/>
  <c r="EJ13" i="34" s="1"/>
  <c r="GA13" i="34" s="1"/>
  <c r="EF31" i="34"/>
  <c r="EF38" i="34"/>
  <c r="EF40" i="34"/>
  <c r="EF37" i="34"/>
  <c r="DG22" i="34"/>
  <c r="EC22" i="34" s="1"/>
  <c r="DJ18" i="34"/>
  <c r="EF18" i="34" s="1"/>
  <c r="FV18" i="34" s="1"/>
  <c r="DE8" i="34"/>
  <c r="EA8" i="34" s="1"/>
  <c r="DF31" i="34"/>
  <c r="EB31" i="34" s="1"/>
  <c r="DF15" i="34"/>
  <c r="EB15" i="34" s="1"/>
  <c r="DF19" i="34"/>
  <c r="EB19" i="34" s="1"/>
  <c r="DN15" i="34"/>
  <c r="EJ15" i="34" s="1"/>
  <c r="GA15" i="34" s="1"/>
  <c r="DN16" i="34"/>
  <c r="EJ16" i="34" s="1"/>
  <c r="GA16" i="34" s="1"/>
  <c r="DH36" i="34"/>
  <c r="ED36" i="34" s="1"/>
  <c r="DJ15" i="34"/>
  <c r="EF15" i="34" s="1"/>
  <c r="FV15" i="34" s="1"/>
  <c r="DF43" i="34"/>
  <c r="EB43" i="34" s="1"/>
  <c r="DI32" i="34"/>
  <c r="EE32" i="34" s="1"/>
  <c r="DE17" i="34"/>
  <c r="EA17" i="34" s="1"/>
  <c r="BV17" i="34"/>
  <c r="AD18" i="34"/>
  <c r="DE33" i="34"/>
  <c r="EA33" i="34" s="1"/>
  <c r="DF35" i="34"/>
  <c r="EB35" i="34" s="1"/>
  <c r="DE20" i="34"/>
  <c r="EA20" i="34" s="1"/>
  <c r="EF33" i="34"/>
  <c r="DL22" i="34"/>
  <c r="EH22" i="34" s="1"/>
  <c r="DI21" i="34"/>
  <c r="EE21" i="34" s="1"/>
  <c r="DJ22" i="34"/>
  <c r="EF22" i="34"/>
  <c r="FV22" i="34" s="1"/>
  <c r="DF17" i="34"/>
  <c r="EB17" i="34" s="1"/>
  <c r="DH15" i="34"/>
  <c r="ED15" i="34" s="1"/>
  <c r="DH11" i="34"/>
  <c r="ED11" i="34" s="1"/>
  <c r="DK12" i="34"/>
  <c r="EG12" i="34" s="1"/>
  <c r="EF36" i="34"/>
  <c r="EF41" i="34"/>
  <c r="DM20" i="34"/>
  <c r="EI20" i="34" s="1"/>
  <c r="DH21" i="34"/>
  <c r="ED21" i="34" s="1"/>
  <c r="DM18" i="34"/>
  <c r="EI18" i="34" s="1"/>
  <c r="DE32" i="34"/>
  <c r="EA32" i="34" s="1"/>
  <c r="DF22" i="34"/>
  <c r="EB22" i="34" s="1"/>
  <c r="DK13" i="34"/>
  <c r="EG13" i="34" s="1"/>
  <c r="DG15" i="34"/>
  <c r="EC15" i="34" s="1"/>
  <c r="DK11" i="34"/>
  <c r="EG11" i="34" s="1"/>
  <c r="FW11" i="34" s="1"/>
  <c r="DG11" i="34"/>
  <c r="EC11" i="34" s="1"/>
  <c r="DG10" i="34"/>
  <c r="EC10" i="34" s="1"/>
  <c r="DI19" i="34"/>
  <c r="EE19" i="34" s="1"/>
  <c r="DH19" i="34"/>
  <c r="ED19" i="34" s="1"/>
  <c r="DE36" i="34"/>
  <c r="EA36" i="34" s="1"/>
  <c r="DG12" i="34"/>
  <c r="EC12" i="34" s="1"/>
  <c r="DJ13" i="34"/>
  <c r="EF13" i="34" s="1"/>
  <c r="FV13" i="34" s="1"/>
  <c r="DK9" i="34"/>
  <c r="EG9" i="34" s="1"/>
  <c r="FW9" i="34" s="1"/>
  <c r="DM23" i="34"/>
  <c r="EI23" i="34" s="1"/>
  <c r="DK10" i="34"/>
  <c r="EG10" i="34" s="1"/>
  <c r="FW10" i="34" s="1"/>
  <c r="DF12" i="34"/>
  <c r="EB12" i="34" s="1"/>
  <c r="DH14" i="34"/>
  <c r="ED14" i="34" s="1"/>
  <c r="DG14" i="34"/>
  <c r="EC14" i="34" s="1"/>
  <c r="DI34" i="34"/>
  <c r="EE34" i="34" s="1"/>
  <c r="DK15" i="34"/>
  <c r="EG15" i="34" s="1"/>
  <c r="DH34" i="34"/>
  <c r="ED34" i="34" s="1"/>
  <c r="DH16" i="34"/>
  <c r="ED16" i="34" s="1"/>
  <c r="DI22" i="34"/>
  <c r="EE22" i="34" s="1"/>
  <c r="DM21" i="34"/>
  <c r="EI21" i="34" s="1"/>
  <c r="DG9" i="34"/>
  <c r="EC9" i="34" s="1"/>
  <c r="DJ10" i="34"/>
  <c r="EF10" i="34" s="1"/>
  <c r="FV10" i="34" s="1"/>
  <c r="DN10" i="34"/>
  <c r="EJ10" i="34" s="1"/>
  <c r="FZ10" i="34" s="1"/>
  <c r="DN12" i="34"/>
  <c r="EJ12" i="34" s="1"/>
  <c r="GA12" i="34" s="1"/>
  <c r="DM17" i="34"/>
  <c r="EI17" i="34"/>
  <c r="DG33" i="34"/>
  <c r="EC33" i="34" s="1"/>
  <c r="DL8" i="34"/>
  <c r="EH8" i="34" s="1"/>
  <c r="FX8" i="34" s="1"/>
  <c r="DJ23" i="34"/>
  <c r="EF23" i="34" s="1"/>
  <c r="FV23" i="34" s="1"/>
  <c r="DF9" i="34"/>
  <c r="EB9" i="34" s="1"/>
  <c r="EF39" i="34"/>
  <c r="DG13" i="34"/>
  <c r="EC13" i="34" s="1"/>
  <c r="DN9" i="34"/>
  <c r="EJ9" i="34" s="1"/>
  <c r="FZ9" i="34" s="1"/>
  <c r="DM12" i="34"/>
  <c r="EI12" i="34" s="1"/>
  <c r="EF43" i="34"/>
  <c r="DE18" i="34"/>
  <c r="EA18" i="34" s="1"/>
  <c r="DL17" i="34"/>
  <c r="EH17" i="34" s="1"/>
  <c r="DI16" i="34"/>
  <c r="EE16" i="34" s="1"/>
  <c r="DG43" i="34"/>
  <c r="EC43" i="34" s="1"/>
  <c r="DM22" i="34"/>
  <c r="EI22" i="34" s="1"/>
  <c r="DK20" i="34"/>
  <c r="EG20" i="34" s="1"/>
  <c r="DH8" i="34"/>
  <c r="ED8" i="34" s="1"/>
  <c r="DL9" i="34"/>
  <c r="EH9" i="34" s="1"/>
  <c r="FX9" i="34" s="1"/>
  <c r="DM9" i="34"/>
  <c r="EI9" i="34" s="1"/>
  <c r="FY9" i="34" s="1"/>
  <c r="B149" i="12"/>
  <c r="B148" i="12"/>
  <c r="B147" i="12"/>
  <c r="B146" i="12"/>
  <c r="B145" i="12"/>
  <c r="B144" i="12"/>
  <c r="B143" i="12"/>
  <c r="B142" i="12"/>
  <c r="FV44" i="34" l="1"/>
  <c r="FB40" i="34"/>
  <c r="FB31" i="34"/>
  <c r="FB35" i="34"/>
  <c r="FB36" i="34"/>
  <c r="FB39" i="34"/>
  <c r="FB43" i="34"/>
  <c r="FB38" i="34"/>
  <c r="FB34" i="34"/>
  <c r="FB42" i="34"/>
  <c r="FB37" i="34"/>
  <c r="FB33" i="34"/>
  <c r="FB41" i="34"/>
  <c r="FB32" i="34"/>
  <c r="FB13" i="34"/>
  <c r="FB14" i="34"/>
  <c r="FB23" i="34"/>
  <c r="FB10" i="34"/>
  <c r="FB20" i="34"/>
  <c r="FB12" i="34"/>
  <c r="FB9" i="34"/>
  <c r="FB22" i="34"/>
  <c r="FB15" i="34"/>
  <c r="FB18" i="34"/>
  <c r="FC18" i="34"/>
  <c r="FA36" i="34"/>
  <c r="FA32" i="34"/>
  <c r="FA40" i="34"/>
  <c r="FA31" i="34"/>
  <c r="FA35" i="34"/>
  <c r="FA39" i="34"/>
  <c r="FA43" i="34"/>
  <c r="FA38" i="34"/>
  <c r="FA34" i="34"/>
  <c r="FA42" i="34"/>
  <c r="FA37" i="34"/>
  <c r="FA33" i="34"/>
  <c r="FA41" i="34"/>
  <c r="FA17" i="34"/>
  <c r="FA10" i="34"/>
  <c r="FA23" i="34"/>
  <c r="FA15" i="34"/>
  <c r="FA22" i="34"/>
  <c r="FA18" i="34"/>
  <c r="FA13" i="34"/>
  <c r="FA21" i="34"/>
  <c r="FA20" i="34"/>
  <c r="GA11" i="34"/>
  <c r="FZ11" i="34"/>
  <c r="FB8" i="34"/>
  <c r="FA11" i="34"/>
  <c r="FC13" i="34"/>
  <c r="CR17" i="34"/>
  <c r="M15" i="17"/>
  <c r="FA12" i="34"/>
  <c r="FC17" i="34"/>
  <c r="FB19" i="34"/>
  <c r="FA9" i="34"/>
  <c r="FB21" i="34"/>
  <c r="FB16" i="34"/>
  <c r="FC35" i="34"/>
  <c r="FC40" i="34"/>
  <c r="FC39" i="34"/>
  <c r="FC43" i="34"/>
  <c r="FC38" i="34"/>
  <c r="FC34" i="34"/>
  <c r="FC42" i="34"/>
  <c r="FC37" i="34"/>
  <c r="FC33" i="34"/>
  <c r="FC41" i="34"/>
  <c r="FC32" i="34"/>
  <c r="FC31" i="34"/>
  <c r="FC36" i="34"/>
  <c r="FC9" i="34"/>
  <c r="FC22" i="34"/>
  <c r="FC15" i="34"/>
  <c r="FC8" i="34"/>
  <c r="FC23" i="34"/>
  <c r="FC14" i="34"/>
  <c r="FC16" i="34"/>
  <c r="FD39" i="34"/>
  <c r="FD43" i="34"/>
  <c r="FD38" i="34"/>
  <c r="FD34" i="34"/>
  <c r="FD42" i="34"/>
  <c r="FD37" i="34"/>
  <c r="FD33" i="34"/>
  <c r="FD41" i="34"/>
  <c r="FD32" i="34"/>
  <c r="FD36" i="34"/>
  <c r="FD35" i="34"/>
  <c r="FD40" i="34"/>
  <c r="FD31" i="34"/>
  <c r="FD13" i="34"/>
  <c r="FD18" i="34"/>
  <c r="FD20" i="34"/>
  <c r="FD22" i="34"/>
  <c r="FD9" i="34"/>
  <c r="FD12" i="34"/>
  <c r="FD19" i="34"/>
  <c r="FD11" i="34"/>
  <c r="FD16" i="34"/>
  <c r="FD15" i="34"/>
  <c r="FD8" i="34"/>
  <c r="FD21" i="34"/>
  <c r="FD14" i="34"/>
  <c r="FD10" i="34"/>
  <c r="FD23" i="34"/>
  <c r="FA14" i="34"/>
  <c r="FC19" i="34"/>
  <c r="FC20" i="34"/>
  <c r="FC10" i="34"/>
  <c r="FB17" i="34"/>
  <c r="FZ12" i="34"/>
  <c r="FB11" i="34"/>
  <c r="FC11" i="34"/>
  <c r="G270" i="28"/>
  <c r="DE31" i="42"/>
  <c r="DE29" i="42"/>
  <c r="DE41" i="42"/>
  <c r="DE22" i="42"/>
  <c r="DE44" i="42"/>
  <c r="BT13" i="42"/>
  <c r="AN13" i="42"/>
  <c r="DE45" i="42"/>
  <c r="ED11" i="42"/>
  <c r="DE13" i="42"/>
  <c r="DE8" i="42"/>
  <c r="CZ13" i="42"/>
  <c r="CO13" i="42"/>
  <c r="DE34" i="42"/>
  <c r="DE21" i="42"/>
  <c r="DE11" i="42"/>
  <c r="EG13" i="42"/>
  <c r="DE16" i="42"/>
  <c r="DE10" i="42"/>
  <c r="BQ9" i="42"/>
  <c r="N16" i="42"/>
  <c r="BQ16" i="42" s="1"/>
  <c r="O9" i="42"/>
  <c r="CL16" i="42"/>
  <c r="CW16" i="42"/>
  <c r="CW48" i="42" s="1"/>
  <c r="DH15" i="42" s="1"/>
  <c r="DE32" i="42"/>
  <c r="Q18" i="42"/>
  <c r="BT18" i="42" s="1"/>
  <c r="DA18" i="42" s="1"/>
  <c r="R11" i="42"/>
  <c r="DE46" i="42"/>
  <c r="BU17" i="42"/>
  <c r="AO17" i="42"/>
  <c r="BV17" i="42" s="1"/>
  <c r="DA14" i="42"/>
  <c r="CP14" i="42"/>
  <c r="DG44" i="42"/>
  <c r="CF23" i="42"/>
  <c r="CN12" i="42"/>
  <c r="EF12" i="42" s="1"/>
  <c r="CD12" i="42"/>
  <c r="CZ24" i="42"/>
  <c r="CO24" i="42"/>
  <c r="DG42" i="42"/>
  <c r="DG12" i="42"/>
  <c r="P19" i="42"/>
  <c r="BS19" i="42" s="1"/>
  <c r="BS12" i="42"/>
  <c r="CZ12" i="42" s="1"/>
  <c r="Q12" i="42"/>
  <c r="DG19" i="42"/>
  <c r="AN28" i="42"/>
  <c r="BT28" i="42"/>
  <c r="DA28" i="42" s="1"/>
  <c r="DG24" i="42"/>
  <c r="P15" i="42"/>
  <c r="BS15" i="42" s="1"/>
  <c r="BS8" i="42"/>
  <c r="Q8" i="42"/>
  <c r="CC25" i="42"/>
  <c r="CM25" i="42"/>
  <c r="CL48" i="42"/>
  <c r="AN21" i="42"/>
  <c r="BT21" i="42"/>
  <c r="CC26" i="42"/>
  <c r="CM26" i="42"/>
  <c r="CY8" i="42"/>
  <c r="BT24" i="42"/>
  <c r="AC24" i="42"/>
  <c r="CN28" i="42"/>
  <c r="EF28" i="42" s="1"/>
  <c r="CD28" i="42"/>
  <c r="CE9" i="42"/>
  <c r="DB20" i="42"/>
  <c r="CQ20" i="42"/>
  <c r="CO21" i="42"/>
  <c r="CZ21" i="42"/>
  <c r="DQ32" i="42"/>
  <c r="EB31" i="42"/>
  <c r="CY15" i="42"/>
  <c r="CN15" i="42"/>
  <c r="EF15" i="42" s="1"/>
  <c r="CN8" i="42"/>
  <c r="CD8" i="42"/>
  <c r="CR20" i="42"/>
  <c r="DC20" i="42"/>
  <c r="DG22" i="42"/>
  <c r="EB16" i="42"/>
  <c r="CJ48" i="42"/>
  <c r="CF15" i="42"/>
  <c r="CD27" i="42"/>
  <c r="CN27" i="42"/>
  <c r="EF27" i="42" s="1"/>
  <c r="AX11" i="42"/>
  <c r="BS11" i="42"/>
  <c r="CG16" i="42"/>
  <c r="CY11" i="42"/>
  <c r="CN11" i="42"/>
  <c r="EF11" i="42" s="1"/>
  <c r="CD22" i="42"/>
  <c r="CN22" i="42"/>
  <c r="EF22" i="42" s="1"/>
  <c r="CD18" i="42"/>
  <c r="CN18" i="42"/>
  <c r="EF18" i="42" s="1"/>
  <c r="DG45" i="42"/>
  <c r="DG36" i="42"/>
  <c r="DG39" i="42"/>
  <c r="DG35" i="42"/>
  <c r="DG31" i="42"/>
  <c r="DG40" i="42"/>
  <c r="DG29" i="42"/>
  <c r="DG8" i="42"/>
  <c r="DG30" i="42"/>
  <c r="DG13" i="42"/>
  <c r="DG15" i="42"/>
  <c r="DG28" i="42"/>
  <c r="DG27" i="42"/>
  <c r="DG32" i="42"/>
  <c r="DG37" i="42"/>
  <c r="DG38" i="42"/>
  <c r="DG46" i="42"/>
  <c r="DG23" i="42"/>
  <c r="DG33" i="42"/>
  <c r="DG21" i="42"/>
  <c r="DG34" i="42"/>
  <c r="DG43" i="42"/>
  <c r="DG14" i="42"/>
  <c r="DV14" i="42"/>
  <c r="DW13" i="42"/>
  <c r="DA17" i="42"/>
  <c r="CP17" i="42"/>
  <c r="AO14" i="42"/>
  <c r="BV14" i="42" s="1"/>
  <c r="BU14" i="42"/>
  <c r="DG16" i="42"/>
  <c r="CY19" i="42"/>
  <c r="CN19" i="42"/>
  <c r="EF19" i="42" s="1"/>
  <c r="EG14" i="42"/>
  <c r="DG11" i="42"/>
  <c r="DG20" i="42"/>
  <c r="DG47" i="42"/>
  <c r="EE8" i="42"/>
  <c r="R23" i="42"/>
  <c r="BT23" i="42"/>
  <c r="DA23" i="42" s="1"/>
  <c r="DG25" i="42"/>
  <c r="CU48" i="42"/>
  <c r="DF16" i="42" s="1"/>
  <c r="DG18" i="42"/>
  <c r="AC26" i="42"/>
  <c r="BT26" i="42"/>
  <c r="DA26" i="42" s="1"/>
  <c r="CG11" i="42"/>
  <c r="CG24" i="42"/>
  <c r="DS12" i="42"/>
  <c r="DT12" i="42" s="1"/>
  <c r="EE12" i="42" s="1"/>
  <c r="DR13" i="42"/>
  <c r="DG26" i="42"/>
  <c r="DG17" i="42"/>
  <c r="AD11" i="42"/>
  <c r="S25" i="42"/>
  <c r="BV25" i="42" s="1"/>
  <c r="DC25" i="42" s="1"/>
  <c r="BU25" i="42"/>
  <c r="DB25" i="42" s="1"/>
  <c r="DG10" i="42"/>
  <c r="FO14" i="34"/>
  <c r="FZ13" i="34"/>
  <c r="FL13" i="34"/>
  <c r="FW12" i="34"/>
  <c r="FM13" i="34"/>
  <c r="FX12" i="34"/>
  <c r="FN13" i="34"/>
  <c r="FY12" i="34"/>
  <c r="GA10" i="34"/>
  <c r="EU37" i="34"/>
  <c r="EH35" i="34"/>
  <c r="EI35" i="34" s="1"/>
  <c r="EJ35" i="34" s="1"/>
  <c r="GA35" i="34"/>
  <c r="GA8" i="34"/>
  <c r="EG31" i="34"/>
  <c r="EU33" i="34"/>
  <c r="EU21" i="34"/>
  <c r="EU43" i="34"/>
  <c r="EG41" i="34"/>
  <c r="EG43" i="34"/>
  <c r="EG36" i="34"/>
  <c r="EG37" i="34"/>
  <c r="EG40" i="34"/>
  <c r="EG39" i="34"/>
  <c r="EU23" i="34"/>
  <c r="EU9" i="34"/>
  <c r="EH42" i="34"/>
  <c r="EI42" i="34" s="1"/>
  <c r="EJ42" i="34" s="1"/>
  <c r="GA42" i="34"/>
  <c r="EG33" i="34"/>
  <c r="EU14" i="34"/>
  <c r="EU16" i="34"/>
  <c r="EU22" i="34"/>
  <c r="EU39" i="34"/>
  <c r="EU36" i="34"/>
  <c r="EU10" i="34"/>
  <c r="EU20" i="34"/>
  <c r="EU35" i="34"/>
  <c r="EU17" i="34"/>
  <c r="EU19" i="34"/>
  <c r="EU8" i="34"/>
  <c r="GA9" i="34"/>
  <c r="EU38" i="34"/>
  <c r="EG38" i="34"/>
  <c r="EU41" i="34"/>
  <c r="EF34" i="34"/>
  <c r="EF32" i="34"/>
  <c r="AD19" i="34"/>
  <c r="BV18" i="34"/>
  <c r="DN17" i="34"/>
  <c r="EJ17" i="34" s="1"/>
  <c r="GA17" i="34" s="1"/>
  <c r="CR18" i="34" l="1"/>
  <c r="M16" i="17"/>
  <c r="O16" i="42"/>
  <c r="BR16" i="42" s="1"/>
  <c r="P9" i="42"/>
  <c r="BR9" i="42"/>
  <c r="R18" i="42"/>
  <c r="BU18" i="42" s="1"/>
  <c r="DB18" i="42" s="1"/>
  <c r="S11" i="42"/>
  <c r="S18" i="42" s="1"/>
  <c r="BV18" i="42" s="1"/>
  <c r="DC18" i="42" s="1"/>
  <c r="CX16" i="42"/>
  <c r="CM16" i="42"/>
  <c r="CX9" i="42"/>
  <c r="CM9" i="42"/>
  <c r="EE9" i="42" s="1"/>
  <c r="BQ48" i="42"/>
  <c r="AO13" i="42"/>
  <c r="BV13" i="42" s="1"/>
  <c r="BU13" i="42"/>
  <c r="ED12" i="42"/>
  <c r="DA13" i="42"/>
  <c r="CP13" i="42"/>
  <c r="CE27" i="42"/>
  <c r="CO27" i="42"/>
  <c r="DA24" i="42"/>
  <c r="CP24" i="42"/>
  <c r="BU28" i="42"/>
  <c r="DB28" i="42" s="1"/>
  <c r="AO28" i="42"/>
  <c r="BV28" i="42" s="1"/>
  <c r="DC28" i="42" s="1"/>
  <c r="CQ23" i="42"/>
  <c r="CG23" i="42"/>
  <c r="S23" i="42"/>
  <c r="BU23" i="42"/>
  <c r="DB23" i="42" s="1"/>
  <c r="CN25" i="42"/>
  <c r="EF25" i="42" s="1"/>
  <c r="CD25" i="42"/>
  <c r="CE22" i="42"/>
  <c r="CO22" i="42"/>
  <c r="CN26" i="42"/>
  <c r="EF26" i="42" s="1"/>
  <c r="CD26" i="42"/>
  <c r="CZ15" i="42"/>
  <c r="CO15" i="42"/>
  <c r="DH45" i="42"/>
  <c r="DH31" i="42"/>
  <c r="DH8" i="42"/>
  <c r="DH44" i="42"/>
  <c r="DH32" i="42"/>
  <c r="DH9" i="42"/>
  <c r="DH14" i="42"/>
  <c r="DH34" i="42"/>
  <c r="DH38" i="42"/>
  <c r="DH35" i="42"/>
  <c r="DH46" i="42"/>
  <c r="DH22" i="42"/>
  <c r="DH23" i="42"/>
  <c r="DH19" i="42"/>
  <c r="DH10" i="42"/>
  <c r="DH29" i="42"/>
  <c r="DH40" i="42"/>
  <c r="DH18" i="42"/>
  <c r="DH27" i="42"/>
  <c r="DH37" i="42"/>
  <c r="DH30" i="42"/>
  <c r="DH24" i="42"/>
  <c r="DH25" i="42"/>
  <c r="DH43" i="42"/>
  <c r="DH17" i="42"/>
  <c r="DH42" i="42"/>
  <c r="DH12" i="42"/>
  <c r="DH36" i="42"/>
  <c r="DH39" i="42"/>
  <c r="DH28" i="42"/>
  <c r="DH21" i="42"/>
  <c r="DH26" i="42"/>
  <c r="DH33" i="42"/>
  <c r="DH16" i="42"/>
  <c r="DH20" i="42"/>
  <c r="DH13" i="42"/>
  <c r="DH47" i="42"/>
  <c r="DH41" i="42"/>
  <c r="CP21" i="42"/>
  <c r="DA21" i="42"/>
  <c r="CO8" i="42"/>
  <c r="CE8" i="42"/>
  <c r="CQ14" i="42"/>
  <c r="DB14" i="42"/>
  <c r="DH11" i="42"/>
  <c r="AO21" i="42"/>
  <c r="BV21" i="42" s="1"/>
  <c r="BU21" i="42"/>
  <c r="Q19" i="42"/>
  <c r="BT19" i="42" s="1"/>
  <c r="BT12" i="42"/>
  <c r="DA12" i="42" s="1"/>
  <c r="R12" i="42"/>
  <c r="AD26" i="42"/>
  <c r="BV26" i="42" s="1"/>
  <c r="DC26" i="42" s="1"/>
  <c r="BU26" i="42"/>
  <c r="DB26" i="42" s="1"/>
  <c r="CR14" i="42"/>
  <c r="DC14" i="42"/>
  <c r="CF9" i="42"/>
  <c r="DC17" i="42"/>
  <c r="CR17" i="42"/>
  <c r="CE18" i="42"/>
  <c r="CO18" i="42"/>
  <c r="CZ8" i="42"/>
  <c r="CZ19" i="42"/>
  <c r="CO19" i="42"/>
  <c r="CQ17" i="42"/>
  <c r="DB17" i="42"/>
  <c r="CG15" i="42"/>
  <c r="CZ11" i="42"/>
  <c r="CO11" i="42"/>
  <c r="EG11" i="42" s="1"/>
  <c r="CO28" i="42"/>
  <c r="CE28" i="42"/>
  <c r="CO12" i="42"/>
  <c r="EG12" i="42" s="1"/>
  <c r="CE12" i="42"/>
  <c r="EF8" i="42"/>
  <c r="DS13" i="42"/>
  <c r="DR14" i="42"/>
  <c r="EC13" i="42"/>
  <c r="DF46" i="42"/>
  <c r="DF39" i="42"/>
  <c r="DF35" i="42"/>
  <c r="DF31" i="42"/>
  <c r="DF30" i="42"/>
  <c r="DF40" i="42"/>
  <c r="DF10" i="42"/>
  <c r="DF12" i="42"/>
  <c r="DF28" i="42"/>
  <c r="DF22" i="42"/>
  <c r="DF13" i="42"/>
  <c r="DF14" i="42"/>
  <c r="DF26" i="42"/>
  <c r="DF27" i="42"/>
  <c r="DF47" i="42"/>
  <c r="DF44" i="42"/>
  <c r="DF9" i="42"/>
  <c r="DF25" i="42"/>
  <c r="DF38" i="42"/>
  <c r="DF45" i="42"/>
  <c r="DF43" i="42"/>
  <c r="DF33" i="42"/>
  <c r="DF15" i="42"/>
  <c r="DF23" i="42"/>
  <c r="DF29" i="42"/>
  <c r="DF41" i="42"/>
  <c r="DF32" i="42"/>
  <c r="DF21" i="42"/>
  <c r="DF37" i="42"/>
  <c r="DF36" i="42"/>
  <c r="DF24" i="42"/>
  <c r="DF17" i="42"/>
  <c r="DF11" i="42"/>
  <c r="DF34" i="42"/>
  <c r="DF19" i="42"/>
  <c r="DF8" i="42"/>
  <c r="DF20" i="42"/>
  <c r="DF42" i="42"/>
  <c r="DF18" i="42"/>
  <c r="DX13" i="42"/>
  <c r="DY13" i="42" s="1"/>
  <c r="EH13" i="42"/>
  <c r="AY11" i="42"/>
  <c r="BT11" i="42"/>
  <c r="BT8" i="42"/>
  <c r="R8" i="42"/>
  <c r="Q15" i="42"/>
  <c r="BT15" i="42" s="1"/>
  <c r="DV15" i="42"/>
  <c r="DW14" i="42"/>
  <c r="DX14" i="42" s="1"/>
  <c r="DY14" i="42" s="1"/>
  <c r="EB32" i="42"/>
  <c r="DQ33" i="42"/>
  <c r="BU24" i="42"/>
  <c r="AD24" i="42"/>
  <c r="BV24" i="42" s="1"/>
  <c r="DC24" i="42" s="1"/>
  <c r="CP23" i="42"/>
  <c r="FN14" i="34"/>
  <c r="FY13" i="34"/>
  <c r="FM14" i="34"/>
  <c r="FX13" i="34"/>
  <c r="FL14" i="34"/>
  <c r="FW13" i="34"/>
  <c r="FO15" i="34"/>
  <c r="FZ14" i="34"/>
  <c r="EH37" i="34"/>
  <c r="EI37" i="34" s="1"/>
  <c r="EJ37" i="34" s="1"/>
  <c r="GA37" i="34"/>
  <c r="EH31" i="34"/>
  <c r="EI31" i="34" s="1"/>
  <c r="EJ31" i="34" s="1"/>
  <c r="EH33" i="34"/>
  <c r="EI33" i="34" s="1"/>
  <c r="EJ33" i="34" s="1"/>
  <c r="GA33" i="34"/>
  <c r="EH43" i="34"/>
  <c r="EI43" i="34" s="1"/>
  <c r="EJ43" i="34" s="1"/>
  <c r="GA43" i="34"/>
  <c r="EH41" i="34"/>
  <c r="EI41" i="34" s="1"/>
  <c r="EJ41" i="34" s="1"/>
  <c r="GA41" i="34"/>
  <c r="EH36" i="34"/>
  <c r="EI36" i="34" s="1"/>
  <c r="EJ36" i="34" s="1"/>
  <c r="GA36" i="34"/>
  <c r="EG32" i="34"/>
  <c r="EG34" i="34"/>
  <c r="EH39" i="34"/>
  <c r="EI39" i="34" s="1"/>
  <c r="EJ39" i="34" s="1"/>
  <c r="GA39" i="34"/>
  <c r="EH38" i="34"/>
  <c r="EI38" i="34" s="1"/>
  <c r="EJ38" i="34" s="1"/>
  <c r="GA38" i="34"/>
  <c r="EH40" i="34"/>
  <c r="EI40" i="34" s="1"/>
  <c r="EJ40" i="34" s="1"/>
  <c r="GA40" i="34"/>
  <c r="DN18" i="34"/>
  <c r="EJ18" i="34" s="1"/>
  <c r="GA18" i="34" s="1"/>
  <c r="AD20" i="34"/>
  <c r="BV19" i="34"/>
  <c r="C73" i="12"/>
  <c r="M5" i="55"/>
  <c r="L5" i="55"/>
  <c r="K5" i="55"/>
  <c r="J5" i="55"/>
  <c r="I5" i="55"/>
  <c r="H5" i="55"/>
  <c r="G5" i="55"/>
  <c r="F5" i="55"/>
  <c r="E5" i="55"/>
  <c r="C41" i="12"/>
  <c r="B100" i="12"/>
  <c r="B73" i="12"/>
  <c r="M86" i="55"/>
  <c r="L86" i="55"/>
  <c r="K86" i="55"/>
  <c r="J86" i="55"/>
  <c r="I86" i="55"/>
  <c r="H86" i="55"/>
  <c r="G86" i="55"/>
  <c r="F86" i="55"/>
  <c r="E86" i="55"/>
  <c r="H79" i="55"/>
  <c r="H70" i="55"/>
  <c r="G70" i="55"/>
  <c r="G79" i="55" s="1"/>
  <c r="E70" i="55"/>
  <c r="E79" i="55" s="1"/>
  <c r="I23" i="55"/>
  <c r="J23" i="55" s="1"/>
  <c r="K23" i="55" s="1"/>
  <c r="L23" i="55" s="1"/>
  <c r="M23" i="55" s="1"/>
  <c r="M70" i="55" s="1"/>
  <c r="F23" i="55"/>
  <c r="F70" i="55" s="1"/>
  <c r="F79" i="55" s="1"/>
  <c r="CR19" i="34" l="1"/>
  <c r="M17" i="17"/>
  <c r="DB13" i="42"/>
  <c r="CQ13" i="42"/>
  <c r="EH14" i="42"/>
  <c r="CR13" i="42"/>
  <c r="EJ13" i="42" s="1"/>
  <c r="DC13" i="42"/>
  <c r="CM48" i="42"/>
  <c r="CX48" i="42"/>
  <c r="CY9" i="42"/>
  <c r="CN9" i="42"/>
  <c r="BR48" i="42"/>
  <c r="EG15" i="42"/>
  <c r="P16" i="42"/>
  <c r="BS16" i="42" s="1"/>
  <c r="Q9" i="42"/>
  <c r="BS9" i="42"/>
  <c r="CN16" i="42"/>
  <c r="EF16" i="42" s="1"/>
  <c r="CY16" i="42"/>
  <c r="T23" i="42"/>
  <c r="BV23" i="42"/>
  <c r="DC23" i="42" s="1"/>
  <c r="DB24" i="42"/>
  <c r="CQ24" i="42"/>
  <c r="AZ11" i="42"/>
  <c r="BV11" i="42" s="1"/>
  <c r="BU11" i="42"/>
  <c r="R19" i="42"/>
  <c r="BU19" i="42" s="1"/>
  <c r="BU12" i="42"/>
  <c r="DB12" i="42" s="1"/>
  <c r="S12" i="42"/>
  <c r="EG8" i="42"/>
  <c r="CR23" i="42"/>
  <c r="CF8" i="42"/>
  <c r="CP8" i="42"/>
  <c r="DA19" i="42"/>
  <c r="CP19" i="42"/>
  <c r="CG9" i="42"/>
  <c r="DB21" i="42"/>
  <c r="CQ21" i="42"/>
  <c r="CP28" i="42"/>
  <c r="CF28" i="42"/>
  <c r="DC21" i="42"/>
  <c r="CR21" i="42"/>
  <c r="CE26" i="42"/>
  <c r="CO26" i="42"/>
  <c r="DQ34" i="42"/>
  <c r="EB33" i="42"/>
  <c r="CO25" i="42"/>
  <c r="CE25" i="42"/>
  <c r="DA11" i="42"/>
  <c r="CP11" i="42"/>
  <c r="EH11" i="42" s="1"/>
  <c r="DV16" i="42"/>
  <c r="DW15" i="42"/>
  <c r="DX15" i="42" s="1"/>
  <c r="DY15" i="42" s="1"/>
  <c r="DA15" i="42"/>
  <c r="CP15" i="42"/>
  <c r="DR15" i="42"/>
  <c r="DS14" i="42"/>
  <c r="EC14" i="42"/>
  <c r="EJ14" i="42"/>
  <c r="CF12" i="42"/>
  <c r="CP12" i="42"/>
  <c r="EH12" i="42" s="1"/>
  <c r="BU8" i="42"/>
  <c r="S8" i="42"/>
  <c r="R15" i="42"/>
  <c r="BU15" i="42" s="1"/>
  <c r="DT13" i="42"/>
  <c r="EE13" i="42" s="1"/>
  <c r="ED13" i="42"/>
  <c r="EI14" i="42"/>
  <c r="CP22" i="42"/>
  <c r="CF22" i="42"/>
  <c r="EI13" i="42"/>
  <c r="DA8" i="42"/>
  <c r="CR24" i="42"/>
  <c r="CF27" i="42"/>
  <c r="CP27" i="42"/>
  <c r="CP18" i="42"/>
  <c r="CF18" i="42"/>
  <c r="FO16" i="34"/>
  <c r="FZ15" i="34"/>
  <c r="FN15" i="34"/>
  <c r="FY14" i="34"/>
  <c r="FL15" i="34"/>
  <c r="FW14" i="34"/>
  <c r="FM15" i="34"/>
  <c r="FX14" i="34"/>
  <c r="EH34" i="34"/>
  <c r="EI34" i="34" s="1"/>
  <c r="EJ34" i="34" s="1"/>
  <c r="GA34" i="34"/>
  <c r="EH32" i="34"/>
  <c r="EI32" i="34" s="1"/>
  <c r="EJ32" i="34" s="1"/>
  <c r="GA32" i="34"/>
  <c r="DN19" i="34"/>
  <c r="EJ19" i="34"/>
  <c r="GA19" i="34" s="1"/>
  <c r="AD21" i="34"/>
  <c r="BV20" i="34"/>
  <c r="C100" i="12"/>
  <c r="M79" i="55"/>
  <c r="I70" i="55"/>
  <c r="I79" i="55" s="1"/>
  <c r="J70" i="55"/>
  <c r="J79" i="55" s="1"/>
  <c r="K70" i="55"/>
  <c r="K79" i="55" s="1"/>
  <c r="L70" i="55"/>
  <c r="L79" i="55" s="1"/>
  <c r="CR20" i="34" l="1"/>
  <c r="M18" i="17"/>
  <c r="EF9" i="42"/>
  <c r="EF48" i="42" s="1"/>
  <c r="CN48" i="42"/>
  <c r="CY48" i="42"/>
  <c r="DI8" i="42"/>
  <c r="DI17" i="42"/>
  <c r="DI13" i="42"/>
  <c r="DI26" i="42"/>
  <c r="DI19" i="42"/>
  <c r="DI31" i="42"/>
  <c r="DI28" i="42"/>
  <c r="DI44" i="42"/>
  <c r="DI46" i="42"/>
  <c r="DI45" i="42"/>
  <c r="DI10" i="42"/>
  <c r="DI23" i="42"/>
  <c r="DI42" i="42"/>
  <c r="DI40" i="42"/>
  <c r="DI36" i="42"/>
  <c r="DI21" i="42"/>
  <c r="DI20" i="42"/>
  <c r="DI30" i="42"/>
  <c r="DI18" i="42"/>
  <c r="DI43" i="42"/>
  <c r="DI39" i="42"/>
  <c r="DI9" i="42"/>
  <c r="DI15" i="42"/>
  <c r="DI29" i="42"/>
  <c r="DI25" i="42"/>
  <c r="DI37" i="42"/>
  <c r="DI27" i="42"/>
  <c r="DI11" i="42"/>
  <c r="DI38" i="42"/>
  <c r="DI32" i="42"/>
  <c r="DI14" i="42"/>
  <c r="DI47" i="42"/>
  <c r="DI33" i="42"/>
  <c r="DI22" i="42"/>
  <c r="DI12" i="42"/>
  <c r="DI35" i="42"/>
  <c r="DI41" i="42"/>
  <c r="DI24" i="42"/>
  <c r="DI34" i="42"/>
  <c r="EH15" i="42"/>
  <c r="R9" i="42"/>
  <c r="Q16" i="42"/>
  <c r="BT16" i="42" s="1"/>
  <c r="BT9" i="42"/>
  <c r="CZ16" i="42"/>
  <c r="CO16" i="42"/>
  <c r="CZ9" i="42"/>
  <c r="CZ48" i="42" s="1"/>
  <c r="DK47" i="42" s="1"/>
  <c r="CO9" i="42"/>
  <c r="EG9" i="42" s="1"/>
  <c r="BS48" i="42"/>
  <c r="DI16" i="42"/>
  <c r="CG12" i="42"/>
  <c r="CQ12" i="42"/>
  <c r="EI12" i="42" s="1"/>
  <c r="CQ28" i="42"/>
  <c r="CG28" i="42"/>
  <c r="CR28" i="42" s="1"/>
  <c r="CG18" i="42"/>
  <c r="CR18" i="42" s="1"/>
  <c r="CQ18" i="42"/>
  <c r="EH8" i="42"/>
  <c r="DB11" i="42"/>
  <c r="CQ11" i="42"/>
  <c r="EI11" i="42" s="1"/>
  <c r="S19" i="42"/>
  <c r="BV19" i="42" s="1"/>
  <c r="BV12" i="42"/>
  <c r="DC12" i="42" s="1"/>
  <c r="CQ22" i="42"/>
  <c r="CG22" i="42"/>
  <c r="CR22" i="42" s="1"/>
  <c r="CG8" i="42"/>
  <c r="CQ8" i="42"/>
  <c r="DC11" i="42"/>
  <c r="CR11" i="42"/>
  <c r="EJ11" i="42" s="1"/>
  <c r="CQ27" i="42"/>
  <c r="CG27" i="42"/>
  <c r="CR27" i="42" s="1"/>
  <c r="DQ35" i="42"/>
  <c r="EB35" i="42" s="1"/>
  <c r="EB34" i="42"/>
  <c r="CP25" i="42"/>
  <c r="CF25" i="42"/>
  <c r="DB15" i="42"/>
  <c r="CQ15" i="42"/>
  <c r="EI15" i="42" s="1"/>
  <c r="DK40" i="42"/>
  <c r="DK37" i="42"/>
  <c r="DK41" i="42"/>
  <c r="DK36" i="42"/>
  <c r="DK42" i="42"/>
  <c r="DK44" i="42"/>
  <c r="DK39" i="42"/>
  <c r="DK16" i="42"/>
  <c r="DK22" i="42"/>
  <c r="DK30" i="42"/>
  <c r="DK35" i="42"/>
  <c r="DK29" i="42"/>
  <c r="DK18" i="42"/>
  <c r="DK26" i="42"/>
  <c r="DK28" i="42"/>
  <c r="DK23" i="42"/>
  <c r="DK20" i="42"/>
  <c r="DK21" i="42"/>
  <c r="DV17" i="42"/>
  <c r="DW16" i="42"/>
  <c r="EG16" i="42"/>
  <c r="BV8" i="42"/>
  <c r="S15" i="42"/>
  <c r="BV15" i="42" s="1"/>
  <c r="DT14" i="42"/>
  <c r="EE14" i="42" s="1"/>
  <c r="ED14" i="42"/>
  <c r="CP26" i="42"/>
  <c r="CF26" i="42"/>
  <c r="DB19" i="42"/>
  <c r="CQ19" i="42"/>
  <c r="DB8" i="42"/>
  <c r="DS15" i="42"/>
  <c r="DR16" i="42"/>
  <c r="EC15" i="42"/>
  <c r="FW15" i="34"/>
  <c r="FL16" i="34"/>
  <c r="FN16" i="34"/>
  <c r="FY15" i="34"/>
  <c r="FO17" i="34"/>
  <c r="FZ16" i="34"/>
  <c r="FM16" i="34"/>
  <c r="FX15" i="34"/>
  <c r="GA31" i="34"/>
  <c r="DN20" i="34"/>
  <c r="EJ20" i="34" s="1"/>
  <c r="GA20" i="34" s="1"/>
  <c r="AD22" i="34"/>
  <c r="BV21" i="34"/>
  <c r="J167" i="28"/>
  <c r="I167" i="28"/>
  <c r="H167" i="28"/>
  <c r="L94" i="28"/>
  <c r="K94" i="28"/>
  <c r="J94" i="28"/>
  <c r="I94" i="28"/>
  <c r="H94" i="28"/>
  <c r="G94" i="28"/>
  <c r="L22" i="28"/>
  <c r="K22" i="28"/>
  <c r="J22" i="28"/>
  <c r="I22" i="28"/>
  <c r="H22" i="28"/>
  <c r="G22" i="28"/>
  <c r="L58" i="28"/>
  <c r="K58" i="28"/>
  <c r="J58" i="28"/>
  <c r="I58" i="28"/>
  <c r="H58" i="28"/>
  <c r="G58" i="28"/>
  <c r="F263" i="28"/>
  <c r="E263" i="28"/>
  <c r="D263" i="28"/>
  <c r="F262" i="28"/>
  <c r="F267" i="28" s="1"/>
  <c r="D262" i="28"/>
  <c r="F261" i="28"/>
  <c r="F266" i="28" s="1"/>
  <c r="D261" i="28"/>
  <c r="L203" i="28"/>
  <c r="K203" i="28"/>
  <c r="J203" i="28"/>
  <c r="I203" i="28"/>
  <c r="H203" i="28"/>
  <c r="G203" i="28"/>
  <c r="F203" i="28"/>
  <c r="E203" i="28"/>
  <c r="D203" i="28"/>
  <c r="L185" i="28"/>
  <c r="K185" i="28"/>
  <c r="J185" i="28"/>
  <c r="I185" i="28"/>
  <c r="H185" i="28"/>
  <c r="G185" i="28"/>
  <c r="F185" i="28"/>
  <c r="E185" i="28"/>
  <c r="D185" i="28"/>
  <c r="L167" i="28"/>
  <c r="K167" i="28"/>
  <c r="CR21" i="34" l="1"/>
  <c r="M19" i="17"/>
  <c r="E264" i="28"/>
  <c r="E269" i="28" s="1"/>
  <c r="F264" i="28"/>
  <c r="F269" i="28" s="1"/>
  <c r="D264" i="28"/>
  <c r="E268" i="28"/>
  <c r="F268" i="28"/>
  <c r="DA9" i="42"/>
  <c r="CP9" i="42"/>
  <c r="EH9" i="42" s="1"/>
  <c r="BT48" i="42"/>
  <c r="DK17" i="42"/>
  <c r="DK27" i="42"/>
  <c r="DK32" i="42"/>
  <c r="DK11" i="42"/>
  <c r="DA16" i="42"/>
  <c r="CP16" i="42"/>
  <c r="CP48" i="42" s="1"/>
  <c r="DK12" i="42"/>
  <c r="DK33" i="42"/>
  <c r="DK38" i="42"/>
  <c r="BU9" i="42"/>
  <c r="S9" i="42"/>
  <c r="R16" i="42"/>
  <c r="BU16" i="42" s="1"/>
  <c r="DK24" i="42"/>
  <c r="DK13" i="42"/>
  <c r="DK43" i="42"/>
  <c r="DK10" i="42"/>
  <c r="DK34" i="42"/>
  <c r="DK46" i="42"/>
  <c r="DK15" i="42"/>
  <c r="DJ8" i="42"/>
  <c r="DJ11" i="42"/>
  <c r="DJ19" i="42"/>
  <c r="DJ15" i="42"/>
  <c r="DJ41" i="42"/>
  <c r="DJ18" i="42"/>
  <c r="DJ25" i="42"/>
  <c r="DJ43" i="42"/>
  <c r="DJ38" i="42"/>
  <c r="DJ47" i="42"/>
  <c r="DJ10" i="42"/>
  <c r="DJ44" i="42"/>
  <c r="DJ33" i="42"/>
  <c r="DJ22" i="42"/>
  <c r="DJ37" i="42"/>
  <c r="DJ27" i="42"/>
  <c r="DJ35" i="42"/>
  <c r="DJ32" i="42"/>
  <c r="DJ12" i="42"/>
  <c r="DJ23" i="42"/>
  <c r="DJ45" i="42"/>
  <c r="DJ28" i="42"/>
  <c r="DJ21" i="42"/>
  <c r="DJ36" i="42"/>
  <c r="DJ14" i="42"/>
  <c r="DJ24" i="42"/>
  <c r="DJ42" i="42"/>
  <c r="DJ9" i="42"/>
  <c r="DJ20" i="42"/>
  <c r="DJ40" i="42"/>
  <c r="DJ39" i="42"/>
  <c r="DJ46" i="42"/>
  <c r="DJ34" i="42"/>
  <c r="DJ29" i="42"/>
  <c r="DJ26" i="42"/>
  <c r="DJ30" i="42"/>
  <c r="DJ31" i="42"/>
  <c r="DJ13" i="42"/>
  <c r="DJ17" i="42"/>
  <c r="CO48" i="42"/>
  <c r="DK14" i="42"/>
  <c r="DK25" i="42"/>
  <c r="DK8" i="42"/>
  <c r="DK19" i="42"/>
  <c r="DK9" i="42"/>
  <c r="DK45" i="42"/>
  <c r="DK31" i="42"/>
  <c r="DJ16" i="42"/>
  <c r="CQ26" i="42"/>
  <c r="CG26" i="42"/>
  <c r="CR26" i="42" s="1"/>
  <c r="DT15" i="42"/>
  <c r="EE15" i="42" s="1"/>
  <c r="ED15" i="42"/>
  <c r="DC15" i="42"/>
  <c r="CR15" i="42"/>
  <c r="EJ15" i="42" s="1"/>
  <c r="DR17" i="42"/>
  <c r="DS16" i="42"/>
  <c r="EC16" i="42"/>
  <c r="DC8" i="42"/>
  <c r="CR12" i="42"/>
  <c r="EJ12" i="42" s="1"/>
  <c r="DC19" i="42"/>
  <c r="CR19" i="42"/>
  <c r="DX16" i="42"/>
  <c r="EH16" i="42"/>
  <c r="EI8" i="42"/>
  <c r="EB48" i="42"/>
  <c r="DW17" i="42"/>
  <c r="DV18" i="42"/>
  <c r="EG17" i="42"/>
  <c r="CR8" i="42"/>
  <c r="CG25" i="42"/>
  <c r="CR25" i="42" s="1"/>
  <c r="CQ25" i="42"/>
  <c r="FM17" i="34"/>
  <c r="FX16" i="34"/>
  <c r="FO18" i="34"/>
  <c r="FZ17" i="34"/>
  <c r="FN17" i="34"/>
  <c r="FY16" i="34"/>
  <c r="FW16" i="34"/>
  <c r="FL17" i="34"/>
  <c r="DN21" i="34"/>
  <c r="EJ21" i="34" s="1"/>
  <c r="GA21" i="34" s="1"/>
  <c r="AD23" i="34"/>
  <c r="BV23" i="34" s="1"/>
  <c r="BV22" i="34"/>
  <c r="I222" i="28"/>
  <c r="I272" i="28" s="1"/>
  <c r="G222" i="28"/>
  <c r="G272" i="28" s="1"/>
  <c r="G167" i="28"/>
  <c r="H222" i="28"/>
  <c r="H272" i="28" s="1"/>
  <c r="K222" i="28"/>
  <c r="K272" i="28" s="1"/>
  <c r="L222" i="28"/>
  <c r="L272" i="28" s="1"/>
  <c r="J222" i="28"/>
  <c r="J272" i="28" s="1"/>
  <c r="CR22" i="34" l="1"/>
  <c r="M20" i="17"/>
  <c r="CR23" i="34"/>
  <c r="M21" i="17"/>
  <c r="F270" i="28"/>
  <c r="E270" i="28"/>
  <c r="DB16" i="42"/>
  <c r="CQ16" i="42"/>
  <c r="BV9" i="42"/>
  <c r="S16" i="42"/>
  <c r="BV16" i="42" s="1"/>
  <c r="DB9" i="42"/>
  <c r="DB48" i="42" s="1"/>
  <c r="DM33" i="42" s="1"/>
  <c r="CQ9" i="42"/>
  <c r="BU48" i="42"/>
  <c r="DA48" i="42"/>
  <c r="DY16" i="42"/>
  <c r="EI16" i="42"/>
  <c r="EJ8" i="42"/>
  <c r="DW18" i="42"/>
  <c r="DV19" i="42"/>
  <c r="EG18" i="42"/>
  <c r="DM43" i="42"/>
  <c r="DM29" i="42"/>
  <c r="DM39" i="42"/>
  <c r="DM36" i="42"/>
  <c r="DM37" i="42"/>
  <c r="DM45" i="42"/>
  <c r="DM46" i="42"/>
  <c r="DM32" i="42"/>
  <c r="DM35" i="42"/>
  <c r="DM34" i="42"/>
  <c r="DM42" i="42"/>
  <c r="DM31" i="42"/>
  <c r="DM30" i="42"/>
  <c r="DM47" i="42"/>
  <c r="DM18" i="42"/>
  <c r="DM25" i="42"/>
  <c r="DM20" i="42"/>
  <c r="DM9" i="42"/>
  <c r="DM13" i="42"/>
  <c r="DM23" i="42"/>
  <c r="DM28" i="42"/>
  <c r="DM14" i="42"/>
  <c r="DM26" i="42"/>
  <c r="DM24" i="42"/>
  <c r="DX17" i="42"/>
  <c r="EH17" i="42"/>
  <c r="DT16" i="42"/>
  <c r="EE16" i="42" s="1"/>
  <c r="ED16" i="42"/>
  <c r="DR18" i="42"/>
  <c r="DS17" i="42"/>
  <c r="EC17" i="42"/>
  <c r="FL18" i="34"/>
  <c r="FW17" i="34"/>
  <c r="FN18" i="34"/>
  <c r="FY17" i="34"/>
  <c r="FZ18" i="34"/>
  <c r="FO19" i="34"/>
  <c r="FX17" i="34"/>
  <c r="FM18" i="34"/>
  <c r="DN22" i="34"/>
  <c r="EJ22" i="34" s="1"/>
  <c r="GA22" i="34" s="1"/>
  <c r="DN23" i="34"/>
  <c r="EJ23" i="34" s="1"/>
  <c r="GA23" i="34" s="1"/>
  <c r="C233" i="12"/>
  <c r="C206" i="12" s="1"/>
  <c r="B199" i="12"/>
  <c r="B198" i="12"/>
  <c r="B197" i="12"/>
  <c r="B196" i="12"/>
  <c r="B195" i="12"/>
  <c r="B194" i="12"/>
  <c r="B193" i="12"/>
  <c r="B192" i="12"/>
  <c r="B181" i="12"/>
  <c r="B180" i="12"/>
  <c r="B179" i="12"/>
  <c r="B178" i="12"/>
  <c r="B177" i="12"/>
  <c r="B176" i="12"/>
  <c r="B175" i="12"/>
  <c r="B174" i="12"/>
  <c r="B159" i="12"/>
  <c r="F159" i="12" s="1"/>
  <c r="B158" i="12"/>
  <c r="B157" i="12"/>
  <c r="C157" i="12" s="1"/>
  <c r="B156" i="12"/>
  <c r="K156" i="12" s="1"/>
  <c r="B155" i="12"/>
  <c r="I155" i="12" s="1"/>
  <c r="B154" i="12"/>
  <c r="F154" i="12" s="1"/>
  <c r="B153" i="12"/>
  <c r="C153" i="12" s="1"/>
  <c r="B152" i="12"/>
  <c r="B170" i="12"/>
  <c r="B169" i="12"/>
  <c r="B168" i="12"/>
  <c r="B167" i="12"/>
  <c r="B166" i="12"/>
  <c r="B165" i="12"/>
  <c r="B164" i="12"/>
  <c r="B163" i="12"/>
  <c r="F209" i="36"/>
  <c r="F208" i="36"/>
  <c r="F206" i="36"/>
  <c r="F205" i="36"/>
  <c r="F200" i="36"/>
  <c r="F199" i="36"/>
  <c r="F197" i="36"/>
  <c r="F196" i="36"/>
  <c r="E47" i="35"/>
  <c r="E42" i="35"/>
  <c r="DL11" i="42" l="1"/>
  <c r="DL19" i="42"/>
  <c r="DL40" i="42"/>
  <c r="DL13" i="42"/>
  <c r="DL28" i="42"/>
  <c r="DL25" i="42"/>
  <c r="DL32" i="42"/>
  <c r="DL39" i="42"/>
  <c r="DL26" i="42"/>
  <c r="DL37" i="42"/>
  <c r="DL36" i="42"/>
  <c r="DL44" i="42"/>
  <c r="DL31" i="42"/>
  <c r="DL14" i="42"/>
  <c r="DL41" i="42"/>
  <c r="DL47" i="42"/>
  <c r="DL42" i="42"/>
  <c r="DL17" i="42"/>
  <c r="DL9" i="42"/>
  <c r="DL16" i="42"/>
  <c r="DL38" i="42"/>
  <c r="DL18" i="42"/>
  <c r="DL21" i="42"/>
  <c r="DL8" i="42"/>
  <c r="DL46" i="42"/>
  <c r="DL29" i="42"/>
  <c r="DL35" i="42"/>
  <c r="DL45" i="42"/>
  <c r="DL24" i="42"/>
  <c r="DL12" i="42"/>
  <c r="DL43" i="42"/>
  <c r="DL15" i="42"/>
  <c r="DL22" i="42"/>
  <c r="DL33" i="42"/>
  <c r="DL34" i="42"/>
  <c r="DL10" i="42"/>
  <c r="DL20" i="42"/>
  <c r="DL30" i="42"/>
  <c r="DL27" i="42"/>
  <c r="DL23" i="42"/>
  <c r="EI9" i="42"/>
  <c r="CQ48" i="42"/>
  <c r="DM8" i="42"/>
  <c r="DM19" i="42"/>
  <c r="DM11" i="42"/>
  <c r="DM15" i="42"/>
  <c r="DM16" i="42"/>
  <c r="DM44" i="42"/>
  <c r="DC16" i="42"/>
  <c r="CR16" i="42"/>
  <c r="DM12" i="42"/>
  <c r="DM10" i="42"/>
  <c r="DM41" i="42"/>
  <c r="DC9" i="42"/>
  <c r="DC48" i="42" s="1"/>
  <c r="DN42" i="42" s="1"/>
  <c r="CR9" i="42"/>
  <c r="BV48" i="42"/>
  <c r="DM21" i="42"/>
  <c r="DM27" i="42"/>
  <c r="DM38" i="42"/>
  <c r="EJ16" i="42"/>
  <c r="DM17" i="42"/>
  <c r="DM22" i="42"/>
  <c r="DM40" i="42"/>
  <c r="DV20" i="42"/>
  <c r="DW19" i="42"/>
  <c r="EG19" i="42"/>
  <c r="DT17" i="42"/>
  <c r="EE17" i="42" s="1"/>
  <c r="ED17" i="42"/>
  <c r="DX18" i="42"/>
  <c r="EH18" i="42"/>
  <c r="DR19" i="42"/>
  <c r="DS18" i="42"/>
  <c r="EC18" i="42"/>
  <c r="DY17" i="42"/>
  <c r="EJ17" i="42" s="1"/>
  <c r="EI17" i="42"/>
  <c r="DN35" i="42"/>
  <c r="DN38" i="42"/>
  <c r="DN41" i="42"/>
  <c r="DN37" i="42"/>
  <c r="DN31" i="42"/>
  <c r="DN32" i="42"/>
  <c r="DN45" i="42"/>
  <c r="DN44" i="42"/>
  <c r="DN22" i="42"/>
  <c r="DN33" i="42"/>
  <c r="DN27" i="42"/>
  <c r="DN36" i="42"/>
  <c r="DN9" i="42"/>
  <c r="DN26" i="42"/>
  <c r="DN24" i="42"/>
  <c r="DN14" i="42"/>
  <c r="DN28" i="42"/>
  <c r="DN17" i="42"/>
  <c r="FM19" i="34"/>
  <c r="FX18" i="34"/>
  <c r="FZ19" i="34"/>
  <c r="FO20" i="34"/>
  <c r="FY18" i="34"/>
  <c r="FN19" i="34"/>
  <c r="FL19" i="34"/>
  <c r="FW18" i="34"/>
  <c r="J153" i="12"/>
  <c r="D155" i="12"/>
  <c r="D153" i="12"/>
  <c r="G154" i="12"/>
  <c r="J155" i="12"/>
  <c r="D157" i="12"/>
  <c r="G159" i="12"/>
  <c r="E153" i="12"/>
  <c r="H154" i="12"/>
  <c r="K155" i="12"/>
  <c r="E157" i="12"/>
  <c r="H159" i="12"/>
  <c r="F153" i="12"/>
  <c r="I154" i="12"/>
  <c r="C156" i="12"/>
  <c r="F157" i="12"/>
  <c r="I159" i="12"/>
  <c r="G153" i="12"/>
  <c r="J154" i="12"/>
  <c r="D156" i="12"/>
  <c r="G157" i="12"/>
  <c r="J159" i="12"/>
  <c r="H153" i="12"/>
  <c r="K154" i="12"/>
  <c r="E156" i="12"/>
  <c r="H157" i="12"/>
  <c r="K159" i="12"/>
  <c r="I153" i="12"/>
  <c r="C155" i="12"/>
  <c r="F156" i="12"/>
  <c r="I157" i="12"/>
  <c r="J157" i="12"/>
  <c r="K153" i="12"/>
  <c r="E155" i="12"/>
  <c r="H156" i="12"/>
  <c r="K157" i="12"/>
  <c r="G156" i="12"/>
  <c r="C154" i="12"/>
  <c r="F155" i="12"/>
  <c r="I156" i="12"/>
  <c r="C159" i="12"/>
  <c r="D154" i="12"/>
  <c r="G155" i="12"/>
  <c r="J156" i="12"/>
  <c r="D159" i="12"/>
  <c r="E154" i="12"/>
  <c r="H155" i="12"/>
  <c r="E159" i="12"/>
  <c r="BR68" i="1"/>
  <c r="BR67" i="1"/>
  <c r="BG68" i="1"/>
  <c r="BG67" i="1"/>
  <c r="CC70" i="1"/>
  <c r="CC69" i="1"/>
  <c r="DN16" i="42" l="1"/>
  <c r="DN29" i="42"/>
  <c r="EJ9" i="42"/>
  <c r="CR48" i="42"/>
  <c r="DN8" i="42"/>
  <c r="DN15" i="42"/>
  <c r="DN19" i="42"/>
  <c r="DN25" i="42"/>
  <c r="DN30" i="42"/>
  <c r="DN43" i="42"/>
  <c r="DN13" i="42"/>
  <c r="DN40" i="42"/>
  <c r="DN39" i="42"/>
  <c r="DN12" i="42"/>
  <c r="DN11" i="42"/>
  <c r="DN20" i="42"/>
  <c r="DN18" i="42"/>
  <c r="DN21" i="42"/>
  <c r="DN10" i="42"/>
  <c r="DN46" i="42"/>
  <c r="DN23" i="42"/>
  <c r="DN47" i="42"/>
  <c r="DN34" i="42"/>
  <c r="DS19" i="42"/>
  <c r="DR20" i="42"/>
  <c r="EC19" i="42"/>
  <c r="DY18" i="42"/>
  <c r="EJ18" i="42" s="1"/>
  <c r="EI18" i="42"/>
  <c r="DX19" i="42"/>
  <c r="EH19" i="42"/>
  <c r="DW20" i="42"/>
  <c r="DV21" i="42"/>
  <c r="EG20" i="42"/>
  <c r="DT18" i="42"/>
  <c r="EE18" i="42" s="1"/>
  <c r="ED18" i="42"/>
  <c r="FL20" i="34"/>
  <c r="FW19" i="34"/>
  <c r="FN20" i="34"/>
  <c r="FY19" i="34"/>
  <c r="FO21" i="34"/>
  <c r="FZ20" i="34"/>
  <c r="FM20" i="34"/>
  <c r="FX19" i="34"/>
  <c r="L9" i="28"/>
  <c r="L73" i="1"/>
  <c r="K73" i="1"/>
  <c r="J73" i="1"/>
  <c r="I73" i="1"/>
  <c r="H73" i="1"/>
  <c r="G73" i="1"/>
  <c r="F73" i="1"/>
  <c r="E73" i="1"/>
  <c r="D73" i="1"/>
  <c r="C73" i="1"/>
  <c r="C75" i="1" s="1"/>
  <c r="M64" i="1"/>
  <c r="M66" i="1"/>
  <c r="M65" i="1"/>
  <c r="M73" i="1" l="1"/>
  <c r="DX20" i="42"/>
  <c r="EH20" i="42"/>
  <c r="DW21" i="42"/>
  <c r="DV22" i="42"/>
  <c r="EG21" i="42"/>
  <c r="DY19" i="42"/>
  <c r="EJ19" i="42" s="1"/>
  <c r="EI19" i="42"/>
  <c r="DR21" i="42"/>
  <c r="DS20" i="42"/>
  <c r="EC20" i="42"/>
  <c r="DT19" i="42"/>
  <c r="EE19" i="42" s="1"/>
  <c r="ED19" i="42"/>
  <c r="FM21" i="34"/>
  <c r="FX20" i="34"/>
  <c r="FO22" i="34"/>
  <c r="FZ21" i="34"/>
  <c r="FN21" i="34"/>
  <c r="FY20" i="34"/>
  <c r="FL21" i="34"/>
  <c r="FW20" i="34"/>
  <c r="B136" i="12"/>
  <c r="B201" i="28"/>
  <c r="B200" i="28"/>
  <c r="B199" i="28"/>
  <c r="B198" i="28"/>
  <c r="B197" i="28"/>
  <c r="B196" i="28"/>
  <c r="B195" i="28"/>
  <c r="B194" i="28"/>
  <c r="B193" i="28"/>
  <c r="B192" i="28"/>
  <c r="B191" i="28"/>
  <c r="B190" i="28"/>
  <c r="B189" i="28"/>
  <c r="B183" i="28"/>
  <c r="B182" i="28"/>
  <c r="B181" i="28"/>
  <c r="B180" i="28"/>
  <c r="B179" i="28"/>
  <c r="B178" i="28"/>
  <c r="B177" i="28"/>
  <c r="B176" i="28"/>
  <c r="B175" i="28"/>
  <c r="B174" i="28"/>
  <c r="B173" i="28"/>
  <c r="B172" i="28"/>
  <c r="B171" i="28"/>
  <c r="B165" i="28"/>
  <c r="B164" i="28"/>
  <c r="B163" i="28"/>
  <c r="B162" i="28"/>
  <c r="B161" i="28"/>
  <c r="B160" i="28"/>
  <c r="B159" i="28"/>
  <c r="B158" i="28"/>
  <c r="B157" i="28"/>
  <c r="B156" i="28"/>
  <c r="B155" i="28"/>
  <c r="B154" i="28"/>
  <c r="B153" i="28"/>
  <c r="B147" i="28"/>
  <c r="B146" i="28"/>
  <c r="B145" i="28"/>
  <c r="B144" i="28"/>
  <c r="B143" i="28"/>
  <c r="B142" i="28"/>
  <c r="B141" i="28"/>
  <c r="B140" i="28"/>
  <c r="B139" i="28"/>
  <c r="B138" i="28"/>
  <c r="B137" i="28"/>
  <c r="B136" i="28"/>
  <c r="B135" i="28"/>
  <c r="B129" i="28"/>
  <c r="B128" i="28"/>
  <c r="B127" i="28"/>
  <c r="B126" i="28"/>
  <c r="B125" i="28"/>
  <c r="B124" i="28"/>
  <c r="B123" i="28"/>
  <c r="B122" i="28"/>
  <c r="B121" i="28"/>
  <c r="B120" i="28"/>
  <c r="B119" i="28"/>
  <c r="B118" i="28"/>
  <c r="B117" i="28"/>
  <c r="B111" i="28"/>
  <c r="B110" i="28"/>
  <c r="B109" i="28"/>
  <c r="B108" i="28"/>
  <c r="B107" i="28"/>
  <c r="B106" i="28"/>
  <c r="B105" i="28"/>
  <c r="B104" i="28"/>
  <c r="B103" i="28"/>
  <c r="B102" i="28"/>
  <c r="B101" i="28"/>
  <c r="B100" i="28"/>
  <c r="B99" i="28"/>
  <c r="B93" i="28"/>
  <c r="B92" i="28"/>
  <c r="B91" i="28"/>
  <c r="B90" i="28"/>
  <c r="B89" i="28"/>
  <c r="B88" i="28"/>
  <c r="B87" i="28"/>
  <c r="B86" i="28"/>
  <c r="B85" i="28"/>
  <c r="B84" i="28"/>
  <c r="B83" i="28"/>
  <c r="B82" i="28"/>
  <c r="B81" i="28"/>
  <c r="B75" i="28"/>
  <c r="B74" i="28"/>
  <c r="B73" i="28"/>
  <c r="B72" i="28"/>
  <c r="B71" i="28"/>
  <c r="B70" i="28"/>
  <c r="B69" i="28"/>
  <c r="B68" i="28"/>
  <c r="B67" i="28"/>
  <c r="B66" i="28"/>
  <c r="B65" i="28"/>
  <c r="B64" i="28"/>
  <c r="B63" i="28"/>
  <c r="B57" i="28"/>
  <c r="B56" i="28"/>
  <c r="B55" i="28"/>
  <c r="B54" i="28"/>
  <c r="B53" i="28"/>
  <c r="B52" i="28"/>
  <c r="B51" i="28"/>
  <c r="B50" i="28"/>
  <c r="B49" i="28"/>
  <c r="B48" i="28"/>
  <c r="B47" i="28"/>
  <c r="B46" i="28"/>
  <c r="B45" i="28"/>
  <c r="B39" i="28"/>
  <c r="B37" i="28"/>
  <c r="DT20" i="42" l="1"/>
  <c r="EE20" i="42" s="1"/>
  <c r="ED20" i="42"/>
  <c r="DV23" i="42"/>
  <c r="DW22" i="42"/>
  <c r="EG22" i="42"/>
  <c r="DX21" i="42"/>
  <c r="EH21" i="42"/>
  <c r="DY20" i="42"/>
  <c r="EJ20" i="42" s="1"/>
  <c r="EI20" i="42"/>
  <c r="DS21" i="42"/>
  <c r="DR22" i="42"/>
  <c r="EC21" i="42"/>
  <c r="FL22" i="34"/>
  <c r="FW21" i="34"/>
  <c r="FN22" i="34"/>
  <c r="FY21" i="34"/>
  <c r="FO23" i="34"/>
  <c r="FZ23" i="34" s="1"/>
  <c r="FZ44" i="34" s="1"/>
  <c r="FZ22" i="34"/>
  <c r="FM22" i="34"/>
  <c r="FX21" i="34"/>
  <c r="L71" i="28"/>
  <c r="K71" i="28"/>
  <c r="J71" i="28"/>
  <c r="I71" i="28"/>
  <c r="H71" i="28"/>
  <c r="G71" i="28"/>
  <c r="F71" i="28"/>
  <c r="E71" i="28"/>
  <c r="D71" i="28"/>
  <c r="D64" i="28"/>
  <c r="D63" i="28"/>
  <c r="C21" i="30" s="1"/>
  <c r="DT21" i="42" l="1"/>
  <c r="EE21" i="42" s="1"/>
  <c r="ED21" i="42"/>
  <c r="DS22" i="42"/>
  <c r="DR23" i="42"/>
  <c r="EC22" i="42"/>
  <c r="DY21" i="42"/>
  <c r="EJ21" i="42" s="1"/>
  <c r="EI21" i="42"/>
  <c r="DX22" i="42"/>
  <c r="EH22" i="42"/>
  <c r="DV24" i="42"/>
  <c r="DW23" i="42"/>
  <c r="EG23" i="42"/>
  <c r="FL23" i="34"/>
  <c r="FW23" i="34" s="1"/>
  <c r="FW22" i="34"/>
  <c r="FM23" i="34"/>
  <c r="FX23" i="34" s="1"/>
  <c r="FX22" i="34"/>
  <c r="FN23" i="34"/>
  <c r="FY23" i="34" s="1"/>
  <c r="FY44" i="34" s="1"/>
  <c r="FY22" i="34"/>
  <c r="D53" i="28"/>
  <c r="DY22" i="42" l="1"/>
  <c r="EJ22" i="42" s="1"/>
  <c r="EI22" i="42"/>
  <c r="DX23" i="42"/>
  <c r="EH23" i="42"/>
  <c r="DS23" i="42"/>
  <c r="DR24" i="42"/>
  <c r="EC23" i="42"/>
  <c r="DT22" i="42"/>
  <c r="EE22" i="42" s="1"/>
  <c r="ED22" i="42"/>
  <c r="DW24" i="42"/>
  <c r="DV25" i="42"/>
  <c r="EG24" i="42"/>
  <c r="FX44" i="34"/>
  <c r="FW44" i="34"/>
  <c r="D66" i="28"/>
  <c r="D72" i="28"/>
  <c r="D74" i="28"/>
  <c r="D67" i="28"/>
  <c r="E63" i="28"/>
  <c r="D21" i="30" s="1"/>
  <c r="D23" i="30" s="1"/>
  <c r="E64" i="28"/>
  <c r="D50" i="28"/>
  <c r="D52" i="28"/>
  <c r="D49" i="28"/>
  <c r="D51" i="28"/>
  <c r="D56" i="28"/>
  <c r="D54" i="28"/>
  <c r="D48" i="28"/>
  <c r="DW25" i="42" l="1"/>
  <c r="DV26" i="42"/>
  <c r="EG25" i="42"/>
  <c r="DX24" i="42"/>
  <c r="EH24" i="42"/>
  <c r="DR25" i="42"/>
  <c r="DS24" i="42"/>
  <c r="EC24" i="42"/>
  <c r="DT23" i="42"/>
  <c r="EE23" i="42" s="1"/>
  <c r="ED23" i="42"/>
  <c r="DY23" i="42"/>
  <c r="EJ23" i="42" s="1"/>
  <c r="EI23" i="42"/>
  <c r="G64" i="28"/>
  <c r="G63" i="28"/>
  <c r="F21" i="30" s="1"/>
  <c r="F23" i="30" s="1"/>
  <c r="F64" i="28"/>
  <c r="DT24" i="42" l="1"/>
  <c r="EE24" i="42" s="1"/>
  <c r="ED24" i="42"/>
  <c r="DR26" i="42"/>
  <c r="DS25" i="42"/>
  <c r="EC25" i="42"/>
  <c r="DY24" i="42"/>
  <c r="EJ24" i="42" s="1"/>
  <c r="EI24" i="42"/>
  <c r="DW26" i="42"/>
  <c r="DV27" i="42"/>
  <c r="EG26" i="42"/>
  <c r="DX25" i="42"/>
  <c r="EH25" i="42"/>
  <c r="F63" i="28"/>
  <c r="E21" i="30" s="1"/>
  <c r="E23" i="30" s="1"/>
  <c r="H64" i="28"/>
  <c r="H63" i="28"/>
  <c r="G21" i="30" s="1"/>
  <c r="G23" i="30" s="1"/>
  <c r="E54" i="28"/>
  <c r="E56" i="28"/>
  <c r="F54" i="28"/>
  <c r="F51" i="28"/>
  <c r="F56" i="28"/>
  <c r="E51" i="28"/>
  <c r="F52" i="28"/>
  <c r="E52" i="28"/>
  <c r="E53" i="28"/>
  <c r="DX26" i="42" l="1"/>
  <c r="EH26" i="42"/>
  <c r="DY25" i="42"/>
  <c r="EJ25" i="42" s="1"/>
  <c r="EI25" i="42"/>
  <c r="DT25" i="42"/>
  <c r="EE25" i="42" s="1"/>
  <c r="ED25" i="42"/>
  <c r="DW27" i="42"/>
  <c r="DV28" i="42"/>
  <c r="EG27" i="42"/>
  <c r="DS26" i="42"/>
  <c r="DR27" i="42"/>
  <c r="EC26" i="42"/>
  <c r="I64" i="28"/>
  <c r="G54" i="28"/>
  <c r="G56" i="28"/>
  <c r="G51" i="28"/>
  <c r="G52" i="28"/>
  <c r="H51" i="28"/>
  <c r="H52" i="28"/>
  <c r="F53" i="28"/>
  <c r="DT26" i="42" l="1"/>
  <c r="EE26" i="42" s="1"/>
  <c r="ED26" i="42"/>
  <c r="DW28" i="42"/>
  <c r="DV29" i="42"/>
  <c r="EG28" i="42"/>
  <c r="DS27" i="42"/>
  <c r="DR28" i="42"/>
  <c r="EC27" i="42"/>
  <c r="DX27" i="42"/>
  <c r="EH27" i="42"/>
  <c r="DY26" i="42"/>
  <c r="EJ26" i="42" s="1"/>
  <c r="EI26" i="42"/>
  <c r="I63" i="28"/>
  <c r="H21" i="30" s="1"/>
  <c r="H23" i="30" s="1"/>
  <c r="J63" i="28"/>
  <c r="I21" i="30" s="1"/>
  <c r="I23" i="30" s="1"/>
  <c r="J64" i="28"/>
  <c r="I51" i="28"/>
  <c r="I52" i="28"/>
  <c r="H54" i="28"/>
  <c r="H56" i="28"/>
  <c r="G53" i="28"/>
  <c r="DY27" i="42" l="1"/>
  <c r="EJ27" i="42" s="1"/>
  <c r="EI27" i="42"/>
  <c r="DV30" i="42"/>
  <c r="DW29" i="42"/>
  <c r="EG29" i="42"/>
  <c r="DX28" i="42"/>
  <c r="EH28" i="42"/>
  <c r="DT27" i="42"/>
  <c r="EE27" i="42" s="1"/>
  <c r="ED27" i="42"/>
  <c r="DR29" i="42"/>
  <c r="DS28" i="42"/>
  <c r="EC28" i="42"/>
  <c r="K64" i="28"/>
  <c r="I54" i="28"/>
  <c r="I56" i="28"/>
  <c r="J52" i="28"/>
  <c r="J51" i="28"/>
  <c r="I53" i="28"/>
  <c r="H53" i="28"/>
  <c r="DT28" i="42" l="1"/>
  <c r="EE28" i="42" s="1"/>
  <c r="ED28" i="42"/>
  <c r="DX29" i="42"/>
  <c r="EH29" i="42"/>
  <c r="DW30" i="42"/>
  <c r="DV31" i="42"/>
  <c r="EG30" i="42"/>
  <c r="DR30" i="42"/>
  <c r="DS29" i="42"/>
  <c r="EC29" i="42"/>
  <c r="DY28" i="42"/>
  <c r="EJ28" i="42" s="1"/>
  <c r="EI28" i="42"/>
  <c r="K63" i="28"/>
  <c r="J21" i="30" s="1"/>
  <c r="J23" i="30" s="1"/>
  <c r="L64" i="28"/>
  <c r="L63" i="28"/>
  <c r="K21" i="30" s="1"/>
  <c r="K23" i="30" s="1"/>
  <c r="K52" i="28"/>
  <c r="J54" i="28"/>
  <c r="K51" i="28"/>
  <c r="J56" i="28"/>
  <c r="DY29" i="42" l="1"/>
  <c r="EJ29" i="42" s="1"/>
  <c r="EI29" i="42"/>
  <c r="DR31" i="42"/>
  <c r="DS30" i="42"/>
  <c r="EC30" i="42"/>
  <c r="DX30" i="42"/>
  <c r="EH30" i="42"/>
  <c r="DT29" i="42"/>
  <c r="EE29" i="42" s="1"/>
  <c r="ED29" i="42"/>
  <c r="DV32" i="42"/>
  <c r="EG31" i="42"/>
  <c r="DW31" i="42"/>
  <c r="K54" i="28"/>
  <c r="K56" i="28"/>
  <c r="L51" i="28"/>
  <c r="L52" i="28"/>
  <c r="J53" i="28"/>
  <c r="DX31" i="42" l="1"/>
  <c r="EH31" i="42"/>
  <c r="DW32" i="42"/>
  <c r="DV33" i="42"/>
  <c r="EG32" i="42"/>
  <c r="DY30" i="42"/>
  <c r="EJ30" i="42" s="1"/>
  <c r="EI30" i="42"/>
  <c r="DT30" i="42"/>
  <c r="EE30" i="42" s="1"/>
  <c r="ED30" i="42"/>
  <c r="DS31" i="42"/>
  <c r="DR32" i="42"/>
  <c r="EC31" i="42"/>
  <c r="L54" i="28"/>
  <c r="L56" i="28"/>
  <c r="K53" i="28"/>
  <c r="DV34" i="42" l="1"/>
  <c r="DW33" i="42"/>
  <c r="EG33" i="42"/>
  <c r="DS32" i="42"/>
  <c r="DR33" i="42"/>
  <c r="EC32" i="42"/>
  <c r="DX32" i="42"/>
  <c r="EH32" i="42"/>
  <c r="DT31" i="42"/>
  <c r="EE31" i="42" s="1"/>
  <c r="ED31" i="42"/>
  <c r="DY31" i="42"/>
  <c r="EJ31" i="42" s="1"/>
  <c r="EI31" i="42"/>
  <c r="L53" i="28"/>
  <c r="DT32" i="42" l="1"/>
  <c r="EE32" i="42" s="1"/>
  <c r="ED32" i="42"/>
  <c r="EI32" i="42"/>
  <c r="DY32" i="42"/>
  <c r="EJ32" i="42" s="1"/>
  <c r="DS33" i="42"/>
  <c r="DR34" i="42"/>
  <c r="EC33" i="42"/>
  <c r="DX33" i="42"/>
  <c r="EH33" i="42"/>
  <c r="DV35" i="42"/>
  <c r="DW34" i="42"/>
  <c r="EG34" i="42"/>
  <c r="D70" i="28"/>
  <c r="K74" i="28"/>
  <c r="J70" i="28"/>
  <c r="I72" i="28"/>
  <c r="H74" i="28"/>
  <c r="J74" i="28"/>
  <c r="K70" i="28"/>
  <c r="J72" i="28"/>
  <c r="I74" i="28"/>
  <c r="L70" i="28"/>
  <c r="L74" i="28"/>
  <c r="K72" i="28"/>
  <c r="F70" i="28"/>
  <c r="L72" i="28"/>
  <c r="G70" i="28"/>
  <c r="F72" i="28"/>
  <c r="H70" i="28"/>
  <c r="G72" i="28"/>
  <c r="F74" i="28"/>
  <c r="I70" i="28"/>
  <c r="H72" i="28"/>
  <c r="G74" i="28"/>
  <c r="L66" i="28"/>
  <c r="E67" i="28"/>
  <c r="F67" i="28"/>
  <c r="G67" i="28"/>
  <c r="E66" i="28"/>
  <c r="H67" i="28"/>
  <c r="F66" i="28"/>
  <c r="I67" i="28"/>
  <c r="G66" i="28"/>
  <c r="J67" i="28"/>
  <c r="E70" i="28"/>
  <c r="H66" i="28"/>
  <c r="K67" i="28"/>
  <c r="E72" i="28"/>
  <c r="I66" i="28"/>
  <c r="L67" i="28"/>
  <c r="E74" i="28"/>
  <c r="J66" i="28"/>
  <c r="K66" i="28"/>
  <c r="J50" i="28"/>
  <c r="K50" i="28"/>
  <c r="E50" i="28"/>
  <c r="F50" i="28"/>
  <c r="L50" i="28"/>
  <c r="G50" i="28"/>
  <c r="E48" i="28"/>
  <c r="H50" i="28"/>
  <c r="F48" i="28"/>
  <c r="I50" i="28"/>
  <c r="L69" i="28"/>
  <c r="E69" i="28"/>
  <c r="F69" i="28"/>
  <c r="G69" i="28"/>
  <c r="H69" i="28"/>
  <c r="I69" i="28"/>
  <c r="J69" i="28"/>
  <c r="K69" i="28"/>
  <c r="D69" i="28"/>
  <c r="E68" i="28"/>
  <c r="F68" i="28"/>
  <c r="G68" i="28"/>
  <c r="H68" i="28"/>
  <c r="I68" i="28"/>
  <c r="J68" i="28"/>
  <c r="K68" i="28"/>
  <c r="L68" i="28"/>
  <c r="D68" i="28"/>
  <c r="D65" i="28"/>
  <c r="D47" i="28"/>
  <c r="J49" i="28"/>
  <c r="K49" i="28"/>
  <c r="L49" i="28"/>
  <c r="I49" i="28"/>
  <c r="H49" i="28"/>
  <c r="E49" i="28"/>
  <c r="F49" i="28"/>
  <c r="G49" i="28"/>
  <c r="DX34" i="42" l="1"/>
  <c r="EH34" i="42"/>
  <c r="DW35" i="42"/>
  <c r="EG35" i="42"/>
  <c r="EG48" i="42" s="1"/>
  <c r="DY33" i="42"/>
  <c r="EJ33" i="42" s="1"/>
  <c r="EI33" i="42"/>
  <c r="DR35" i="42"/>
  <c r="DS34" i="42"/>
  <c r="EC34" i="42"/>
  <c r="DT33" i="42"/>
  <c r="EE33" i="42" s="1"/>
  <c r="ED33" i="42"/>
  <c r="D77" i="28"/>
  <c r="G48" i="28"/>
  <c r="D46" i="28"/>
  <c r="DT34" i="42" l="1"/>
  <c r="EE34" i="42" s="1"/>
  <c r="ED34" i="42"/>
  <c r="DS35" i="42"/>
  <c r="EC35" i="42"/>
  <c r="EC48" i="42" s="1"/>
  <c r="DX35" i="42"/>
  <c r="EH35" i="42"/>
  <c r="EH48" i="42" s="1"/>
  <c r="DY34" i="42"/>
  <c r="EJ34" i="42" s="1"/>
  <c r="EI34" i="42"/>
  <c r="I48" i="28"/>
  <c r="H48" i="28"/>
  <c r="E47" i="28"/>
  <c r="DY35" i="42" l="1"/>
  <c r="EJ35" i="42" s="1"/>
  <c r="EJ48" i="42" s="1"/>
  <c r="EI35" i="42"/>
  <c r="EI48" i="42" s="1"/>
  <c r="DT35" i="42"/>
  <c r="EE35" i="42" s="1"/>
  <c r="EE48" i="42" s="1"/>
  <c r="ED35" i="42"/>
  <c r="ED48" i="42" s="1"/>
  <c r="E65" i="28"/>
  <c r="E77" i="28" s="1"/>
  <c r="J48" i="28"/>
  <c r="K48" i="28" l="1"/>
  <c r="F65" i="28" l="1"/>
  <c r="F77" i="28" s="1"/>
  <c r="L48" i="28"/>
  <c r="F47" i="28"/>
  <c r="G65" i="28" l="1"/>
  <c r="G77" i="28" s="1"/>
  <c r="G47" i="28"/>
  <c r="H65" i="28" l="1"/>
  <c r="H77" i="28" s="1"/>
  <c r="H47" i="28"/>
  <c r="I65" i="28" l="1"/>
  <c r="I77" i="28" s="1"/>
  <c r="I47" i="28"/>
  <c r="J65" i="28" l="1"/>
  <c r="J77" i="28" s="1"/>
  <c r="J47" i="28"/>
  <c r="K65" i="28" l="1"/>
  <c r="K77" i="28" s="1"/>
  <c r="K47" i="28"/>
  <c r="L65" i="28" l="1"/>
  <c r="L77" i="28" s="1"/>
  <c r="L47" i="28"/>
  <c r="D45" i="28" l="1"/>
  <c r="C14" i="30" s="1"/>
  <c r="E46" i="28"/>
  <c r="F46" i="28"/>
  <c r="G46" i="28"/>
  <c r="L46" i="28"/>
  <c r="E45" i="28" l="1"/>
  <c r="D14" i="30" s="1"/>
  <c r="K45" i="28"/>
  <c r="J14" i="30" s="1"/>
  <c r="K46" i="28"/>
  <c r="I46" i="28"/>
  <c r="J46" i="28"/>
  <c r="H46" i="28"/>
  <c r="G45" i="28"/>
  <c r="L45" i="28"/>
  <c r="H45" i="28"/>
  <c r="G14" i="30" s="1"/>
  <c r="L59" i="28" l="1"/>
  <c r="K14" i="30"/>
  <c r="G59" i="28"/>
  <c r="F14" i="30"/>
  <c r="J16" i="30"/>
  <c r="G16" i="30"/>
  <c r="D16" i="30"/>
  <c r="H59" i="28"/>
  <c r="K59" i="28"/>
  <c r="J45" i="28"/>
  <c r="F45" i="28"/>
  <c r="E14" i="30" s="1"/>
  <c r="I45" i="28"/>
  <c r="L136" i="28"/>
  <c r="K136" i="28"/>
  <c r="J136" i="28"/>
  <c r="I136" i="28"/>
  <c r="H136" i="28"/>
  <c r="G136" i="28"/>
  <c r="F136" i="28"/>
  <c r="E136" i="28"/>
  <c r="D136" i="28"/>
  <c r="L135" i="28"/>
  <c r="K42" i="30" s="1"/>
  <c r="K44" i="30" s="1"/>
  <c r="K135" i="28"/>
  <c r="J42" i="30" s="1"/>
  <c r="J44" i="30" s="1"/>
  <c r="J135" i="28"/>
  <c r="I42" i="30" s="1"/>
  <c r="I44" i="30" s="1"/>
  <c r="I135" i="28"/>
  <c r="H42" i="30" s="1"/>
  <c r="H44" i="30" s="1"/>
  <c r="H135" i="28"/>
  <c r="G42" i="30" s="1"/>
  <c r="G44" i="30" s="1"/>
  <c r="G135" i="28"/>
  <c r="F42" i="30" s="1"/>
  <c r="F44" i="30" s="1"/>
  <c r="F135" i="28"/>
  <c r="E42" i="30" s="1"/>
  <c r="E44" i="30" s="1"/>
  <c r="E135" i="28"/>
  <c r="D42" i="30" s="1"/>
  <c r="D44" i="30" s="1"/>
  <c r="D135" i="28"/>
  <c r="C42" i="30" s="1"/>
  <c r="F16" i="30" l="1"/>
  <c r="I59" i="28"/>
  <c r="H14" i="30"/>
  <c r="E16" i="30"/>
  <c r="K16" i="30"/>
  <c r="J59" i="28"/>
  <c r="I14" i="30"/>
  <c r="F142" i="28"/>
  <c r="G142" i="28"/>
  <c r="I142" i="28"/>
  <c r="J139" i="28"/>
  <c r="H140" i="28"/>
  <c r="L142" i="28"/>
  <c r="K139" i="28"/>
  <c r="F139" i="28"/>
  <c r="D140" i="28"/>
  <c r="H142" i="28"/>
  <c r="G139" i="28"/>
  <c r="E140" i="28"/>
  <c r="H139" i="28"/>
  <c r="L140" i="28"/>
  <c r="D142" i="28"/>
  <c r="J142" i="28"/>
  <c r="D139" i="28"/>
  <c r="E139" i="28"/>
  <c r="I140" i="28"/>
  <c r="L139" i="28"/>
  <c r="J140" i="28"/>
  <c r="K140" i="28"/>
  <c r="F140" i="28"/>
  <c r="I139" i="28"/>
  <c r="G140" i="28"/>
  <c r="E142" i="28"/>
  <c r="K142" i="28"/>
  <c r="L122" i="28"/>
  <c r="J124" i="28"/>
  <c r="E121" i="28"/>
  <c r="I122" i="28"/>
  <c r="K123" i="28"/>
  <c r="E125" i="28"/>
  <c r="J120" i="28"/>
  <c r="F121" i="28"/>
  <c r="J122" i="28"/>
  <c r="L123" i="28"/>
  <c r="D126" i="28"/>
  <c r="F125" i="28"/>
  <c r="L125" i="28"/>
  <c r="K120" i="28"/>
  <c r="G121" i="28"/>
  <c r="E122" i="28"/>
  <c r="K122" i="28"/>
  <c r="G123" i="28"/>
  <c r="I124" i="28"/>
  <c r="E126" i="28"/>
  <c r="K126" i="28"/>
  <c r="G125" i="28"/>
  <c r="F120" i="28"/>
  <c r="H121" i="28"/>
  <c r="H123" i="28"/>
  <c r="F126" i="28"/>
  <c r="I120" i="28"/>
  <c r="K121" i="28"/>
  <c r="E123" i="28"/>
  <c r="G124" i="28"/>
  <c r="I126" i="28"/>
  <c r="K125" i="28"/>
  <c r="L121" i="28"/>
  <c r="D122" i="28"/>
  <c r="F123" i="28"/>
  <c r="H124" i="28"/>
  <c r="J126" i="28"/>
  <c r="E120" i="28"/>
  <c r="L120" i="28"/>
  <c r="F122" i="28"/>
  <c r="D124" i="28"/>
  <c r="L126" i="28"/>
  <c r="H125" i="28"/>
  <c r="G120" i="28"/>
  <c r="I121" i="28"/>
  <c r="G122" i="28"/>
  <c r="I123" i="28"/>
  <c r="E124" i="28"/>
  <c r="K124" i="28"/>
  <c r="G126" i="28"/>
  <c r="I125" i="28"/>
  <c r="H120" i="28"/>
  <c r="D121" i="28"/>
  <c r="J121" i="28"/>
  <c r="H122" i="28"/>
  <c r="D123" i="28"/>
  <c r="J123" i="28"/>
  <c r="F124" i="28"/>
  <c r="L124" i="28"/>
  <c r="H126" i="28"/>
  <c r="D125" i="28"/>
  <c r="J125" i="28"/>
  <c r="D120" i="28"/>
  <c r="I103" i="28"/>
  <c r="G102" i="28"/>
  <c r="G104" i="28"/>
  <c r="E106" i="28"/>
  <c r="K106" i="28"/>
  <c r="K110" i="28"/>
  <c r="H102" i="28"/>
  <c r="J103" i="28"/>
  <c r="H104" i="28"/>
  <c r="D105" i="28"/>
  <c r="F106" i="28"/>
  <c r="D107" i="28"/>
  <c r="F110" i="28"/>
  <c r="E103" i="28"/>
  <c r="I104" i="28"/>
  <c r="K105" i="28"/>
  <c r="G106" i="28"/>
  <c r="I108" i="28"/>
  <c r="K107" i="28"/>
  <c r="J102" i="28"/>
  <c r="F103" i="28"/>
  <c r="J104" i="28"/>
  <c r="F105" i="28"/>
  <c r="H106" i="28"/>
  <c r="J108" i="28"/>
  <c r="F107" i="28"/>
  <c r="H110" i="28"/>
  <c r="E102" i="28"/>
  <c r="K102" i="28"/>
  <c r="G103" i="28"/>
  <c r="E104" i="28"/>
  <c r="K104" i="28"/>
  <c r="G105" i="28"/>
  <c r="I106" i="28"/>
  <c r="E108" i="28"/>
  <c r="K108" i="28"/>
  <c r="G107" i="28"/>
  <c r="I110" i="28"/>
  <c r="I105" i="28"/>
  <c r="G108" i="28"/>
  <c r="I107" i="28"/>
  <c r="E110" i="28"/>
  <c r="D103" i="28"/>
  <c r="J105" i="28"/>
  <c r="L106" i="28"/>
  <c r="H108" i="28"/>
  <c r="J107" i="28"/>
  <c r="I102" i="28"/>
  <c r="K103" i="28"/>
  <c r="E105" i="28"/>
  <c r="E107" i="28"/>
  <c r="G110" i="28"/>
  <c r="L103" i="28"/>
  <c r="D104" i="28"/>
  <c r="L105" i="28"/>
  <c r="D108" i="28"/>
  <c r="L107" i="28"/>
  <c r="F102" i="28"/>
  <c r="L102" i="28"/>
  <c r="H103" i="28"/>
  <c r="F104" i="28"/>
  <c r="L104" i="28"/>
  <c r="H105" i="28"/>
  <c r="D106" i="28"/>
  <c r="J106" i="28"/>
  <c r="F108" i="28"/>
  <c r="L108" i="28"/>
  <c r="H107" i="28"/>
  <c r="D110" i="28"/>
  <c r="J110" i="28"/>
  <c r="L110" i="28"/>
  <c r="D102" i="28"/>
  <c r="J88" i="28"/>
  <c r="H89" i="28"/>
  <c r="G90" i="28"/>
  <c r="J87" i="28"/>
  <c r="D89" i="28"/>
  <c r="K87" i="28"/>
  <c r="I90" i="28"/>
  <c r="J86" i="28"/>
  <c r="H88" i="28"/>
  <c r="F89" i="28"/>
  <c r="L89" i="28"/>
  <c r="F86" i="28"/>
  <c r="D88" i="28"/>
  <c r="F90" i="28"/>
  <c r="E88" i="28"/>
  <c r="D87" i="28"/>
  <c r="F88" i="28"/>
  <c r="H90" i="28"/>
  <c r="J89" i="28"/>
  <c r="E87" i="28"/>
  <c r="G88" i="28"/>
  <c r="E89" i="28"/>
  <c r="F87" i="28"/>
  <c r="L87" i="28"/>
  <c r="J90" i="28"/>
  <c r="E86" i="28"/>
  <c r="K86" i="28"/>
  <c r="G87" i="28"/>
  <c r="I88" i="28"/>
  <c r="K90" i="28"/>
  <c r="G89" i="28"/>
  <c r="H87" i="28"/>
  <c r="L90" i="28"/>
  <c r="G86" i="28"/>
  <c r="K88" i="28"/>
  <c r="I89" i="28"/>
  <c r="H86" i="28"/>
  <c r="L88" i="28"/>
  <c r="I86" i="28"/>
  <c r="K89" i="28"/>
  <c r="D86" i="28"/>
  <c r="D90" i="28"/>
  <c r="E90" i="28"/>
  <c r="L86" i="28"/>
  <c r="I87" i="28"/>
  <c r="H16" i="30" l="1"/>
  <c r="I16" i="30"/>
  <c r="D214" i="28"/>
  <c r="D216" i="28"/>
  <c r="D213" i="28"/>
  <c r="J128" i="28"/>
  <c r="J146" i="28"/>
  <c r="I128" i="28"/>
  <c r="I146" i="28"/>
  <c r="K128" i="28"/>
  <c r="K146" i="28"/>
  <c r="G128" i="28"/>
  <c r="G146" i="28"/>
  <c r="E128" i="28"/>
  <c r="E146" i="28"/>
  <c r="H128" i="28"/>
  <c r="H146" i="28"/>
  <c r="F128" i="28"/>
  <c r="F146" i="28"/>
  <c r="L128" i="28"/>
  <c r="L146" i="28"/>
  <c r="D128" i="28"/>
  <c r="D146" i="28"/>
  <c r="D144" i="28" l="1"/>
  <c r="D218" i="28" s="1"/>
  <c r="D143" i="28"/>
  <c r="D217" i="28" s="1"/>
  <c r="D141" i="28"/>
  <c r="D215" i="28" s="1"/>
  <c r="E144" i="28" l="1"/>
  <c r="E143" i="28"/>
  <c r="E141" i="28"/>
  <c r="F143" i="28" l="1"/>
  <c r="F144" i="28" l="1"/>
  <c r="G143" i="28"/>
  <c r="F141" i="28"/>
  <c r="G144" i="28" l="1"/>
  <c r="H143" i="28"/>
  <c r="G141" i="28"/>
  <c r="H144" i="28" l="1"/>
  <c r="I143" i="28"/>
  <c r="H141" i="28"/>
  <c r="I144" i="28" l="1"/>
  <c r="J143" i="28"/>
  <c r="I141" i="28"/>
  <c r="J144" i="28" l="1"/>
  <c r="K143" i="28"/>
  <c r="J141" i="28"/>
  <c r="K144" i="28" l="1"/>
  <c r="L143" i="28"/>
  <c r="K141" i="28"/>
  <c r="L144" i="28" l="1"/>
  <c r="L141" i="28"/>
  <c r="M56" i="55" l="1"/>
  <c r="K55" i="55"/>
  <c r="L55" i="55" s="1"/>
  <c r="M55" i="55" s="1"/>
  <c r="I54" i="55"/>
  <c r="I57" i="55" s="1"/>
  <c r="F49" i="55"/>
  <c r="F50" i="55" s="1"/>
  <c r="F51" i="55" s="1"/>
  <c r="F45" i="55"/>
  <c r="G45" i="55" s="1"/>
  <c r="H45" i="55" s="1"/>
  <c r="I45" i="55" s="1"/>
  <c r="J45" i="55" s="1"/>
  <c r="K45" i="55" s="1"/>
  <c r="L45" i="55" s="1"/>
  <c r="M45" i="55" s="1"/>
  <c r="G40" i="55"/>
  <c r="H40" i="55" s="1"/>
  <c r="I40" i="55" s="1"/>
  <c r="J40" i="55" s="1"/>
  <c r="K40" i="55" s="1"/>
  <c r="L40" i="55" s="1"/>
  <c r="M40" i="55" s="1"/>
  <c r="G34" i="55"/>
  <c r="G36" i="55" s="1"/>
  <c r="G29" i="55"/>
  <c r="H29" i="55" s="1"/>
  <c r="I29" i="55" s="1"/>
  <c r="J29" i="55" s="1"/>
  <c r="K29" i="55" s="1"/>
  <c r="L29" i="55" s="1"/>
  <c r="M29" i="55" s="1"/>
  <c r="G27" i="55"/>
  <c r="H27" i="55" s="1"/>
  <c r="I27" i="55" s="1"/>
  <c r="J27" i="55" s="1"/>
  <c r="K27" i="55" s="1"/>
  <c r="L27" i="55" s="1"/>
  <c r="M27" i="55" s="1"/>
  <c r="I15" i="55"/>
  <c r="J15" i="55" s="1"/>
  <c r="K15" i="55" s="1"/>
  <c r="L15" i="55" s="1"/>
  <c r="M15" i="55" s="1"/>
  <c r="I9" i="55"/>
  <c r="J9" i="55" s="1"/>
  <c r="K9" i="55" s="1"/>
  <c r="L9" i="55" s="1"/>
  <c r="M9" i="55" s="1"/>
  <c r="H57" i="55"/>
  <c r="G57" i="55"/>
  <c r="F57" i="55"/>
  <c r="E57" i="55"/>
  <c r="E50" i="55"/>
  <c r="E51" i="55" s="1"/>
  <c r="E46" i="55"/>
  <c r="G42" i="55"/>
  <c r="F42" i="55"/>
  <c r="F36" i="55"/>
  <c r="F30" i="55"/>
  <c r="H17" i="55"/>
  <c r="G17" i="55"/>
  <c r="F17" i="55"/>
  <c r="I17" i="55"/>
  <c r="I11" i="55"/>
  <c r="H11" i="55"/>
  <c r="G11" i="55"/>
  <c r="F11" i="55"/>
  <c r="F46" i="55" l="1"/>
  <c r="J54" i="55"/>
  <c r="K54" i="55" s="1"/>
  <c r="L54" i="55" s="1"/>
  <c r="M54" i="55" s="1"/>
  <c r="H34" i="55"/>
  <c r="I34" i="55" s="1"/>
  <c r="J34" i="55" s="1"/>
  <c r="K34" i="55" s="1"/>
  <c r="L34" i="55" s="1"/>
  <c r="M34" i="55" s="1"/>
  <c r="G30" i="55"/>
  <c r="G49" i="55"/>
  <c r="H49" i="55" s="1"/>
  <c r="I49" i="55" s="1"/>
  <c r="J49" i="55" s="1"/>
  <c r="K49" i="55" s="1"/>
  <c r="L49" i="55" s="1"/>
  <c r="M49" i="55" s="1"/>
  <c r="D101" i="28"/>
  <c r="D119" i="28"/>
  <c r="I42" i="55"/>
  <c r="J57" i="55"/>
  <c r="H30" i="55"/>
  <c r="G46" i="55"/>
  <c r="K11" i="55"/>
  <c r="J11" i="55"/>
  <c r="H42" i="55"/>
  <c r="H50" i="55" l="1"/>
  <c r="H51" i="55" s="1"/>
  <c r="G50" i="55"/>
  <c r="G51" i="55" s="1"/>
  <c r="H36" i="55"/>
  <c r="I36" i="55"/>
  <c r="H46" i="55"/>
  <c r="L11" i="55"/>
  <c r="I30" i="55"/>
  <c r="J42" i="55"/>
  <c r="I50" i="55"/>
  <c r="I51" i="55" s="1"/>
  <c r="K57" i="55"/>
  <c r="J17" i="55"/>
  <c r="J36" i="55"/>
  <c r="K42" i="55" l="1"/>
  <c r="J30" i="55"/>
  <c r="J50" i="55"/>
  <c r="J51" i="55" s="1"/>
  <c r="M11" i="55"/>
  <c r="K36" i="55"/>
  <c r="K17" i="55"/>
  <c r="L57" i="55"/>
  <c r="I46" i="55"/>
  <c r="L36" i="55" l="1"/>
  <c r="L17" i="55"/>
  <c r="K50" i="55"/>
  <c r="K51" i="55" s="1"/>
  <c r="K30" i="55"/>
  <c r="J46" i="55"/>
  <c r="M57" i="55"/>
  <c r="L42" i="55"/>
  <c r="K46" i="55" l="1"/>
  <c r="L30" i="55"/>
  <c r="M17" i="55"/>
  <c r="M42" i="55"/>
  <c r="L50" i="55"/>
  <c r="L51" i="55" s="1"/>
  <c r="M36" i="55"/>
  <c r="M50" i="55" l="1"/>
  <c r="M51" i="55" s="1"/>
  <c r="M30" i="55"/>
  <c r="L46" i="55"/>
  <c r="M46" i="55" l="1"/>
  <c r="D118" i="28" l="1"/>
  <c r="D82" i="28" l="1"/>
  <c r="D100" i="28"/>
  <c r="D210" i="28" l="1"/>
  <c r="D117" i="28" l="1"/>
  <c r="D131" i="28" l="1"/>
  <c r="C35" i="30"/>
  <c r="D99" i="28"/>
  <c r="D113" i="28" s="1"/>
  <c r="D137" i="28" l="1"/>
  <c r="D138" i="28"/>
  <c r="D83" i="28"/>
  <c r="D149" i="28" l="1"/>
  <c r="D211" i="28"/>
  <c r="D84" i="28"/>
  <c r="C224" i="12" l="1"/>
  <c r="D81" i="28"/>
  <c r="D235" i="28"/>
  <c r="D212" i="28"/>
  <c r="D209" i="28" l="1"/>
  <c r="C28" i="30"/>
  <c r="C56" i="30" s="1"/>
  <c r="D239" i="28"/>
  <c r="D244" i="28" s="1"/>
  <c r="D238" i="28"/>
  <c r="D243" i="28" s="1"/>
  <c r="D237" i="28"/>
  <c r="D242" i="28" s="1"/>
  <c r="D240" i="28"/>
  <c r="D245" i="28" s="1"/>
  <c r="E138" i="28"/>
  <c r="D166" i="28" l="1"/>
  <c r="D167" i="28" s="1"/>
  <c r="D250" i="28"/>
  <c r="D256" i="28" s="1"/>
  <c r="D58" i="28"/>
  <c r="D59" i="28" s="1"/>
  <c r="D252" i="28"/>
  <c r="D258" i="28" s="1"/>
  <c r="D22" i="28"/>
  <c r="D249" i="28"/>
  <c r="D94" i="28"/>
  <c r="D251" i="28"/>
  <c r="D257" i="28" s="1"/>
  <c r="D246" i="28"/>
  <c r="E84" i="28"/>
  <c r="F138" i="28"/>
  <c r="D248" i="28" l="1"/>
  <c r="D255" i="28"/>
  <c r="D254" i="28" s="1"/>
  <c r="D222" i="28"/>
  <c r="D272" i="28" s="1"/>
  <c r="F84" i="28"/>
  <c r="G138" i="28"/>
  <c r="G84" i="28" l="1"/>
  <c r="H138" i="28"/>
  <c r="H84" i="28" l="1"/>
  <c r="I138" i="28"/>
  <c r="I84" i="28"/>
  <c r="J138" i="28" l="1"/>
  <c r="J84" i="28"/>
  <c r="K138" i="28" l="1"/>
  <c r="K84" i="28" l="1"/>
  <c r="L138" i="28"/>
  <c r="L84" i="28" l="1"/>
  <c r="E100" i="28" l="1"/>
  <c r="L118" i="28"/>
  <c r="E82" i="28"/>
  <c r="K118" i="28"/>
  <c r="J118" i="28"/>
  <c r="I118" i="28"/>
  <c r="G100" i="28"/>
  <c r="E118" i="28"/>
  <c r="E99" i="28" l="1"/>
  <c r="E117" i="28"/>
  <c r="D35" i="30" s="1"/>
  <c r="D37" i="30" s="1"/>
  <c r="E210" i="28"/>
  <c r="E81" i="28"/>
  <c r="D28" i="30" s="1"/>
  <c r="L82" i="28"/>
  <c r="J82" i="28"/>
  <c r="K82" i="28"/>
  <c r="K100" i="28"/>
  <c r="I117" i="28"/>
  <c r="H35" i="30" s="1"/>
  <c r="H37" i="30" s="1"/>
  <c r="F100" i="28"/>
  <c r="I100" i="28"/>
  <c r="K117" i="28"/>
  <c r="J35" i="30" s="1"/>
  <c r="J37" i="30" s="1"/>
  <c r="F99" i="28"/>
  <c r="H82" i="28"/>
  <c r="G82" i="28"/>
  <c r="G118" i="28"/>
  <c r="F82" i="28"/>
  <c r="H100" i="28"/>
  <c r="J100" i="28"/>
  <c r="L100" i="28"/>
  <c r="F117" i="28"/>
  <c r="E35" i="30" s="1"/>
  <c r="E37" i="30" s="1"/>
  <c r="L117" i="28"/>
  <c r="K35" i="30" s="1"/>
  <c r="K37" i="30" s="1"/>
  <c r="I82" i="28"/>
  <c r="I210" i="28" s="1"/>
  <c r="G117" i="28"/>
  <c r="F35" i="30" s="1"/>
  <c r="F37" i="30" s="1"/>
  <c r="F118" i="28"/>
  <c r="H118" i="28"/>
  <c r="D30" i="30" l="1"/>
  <c r="D58" i="30" s="1"/>
  <c r="D56" i="30"/>
  <c r="E209" i="28"/>
  <c r="H99" i="28"/>
  <c r="J99" i="28"/>
  <c r="K99" i="28"/>
  <c r="I99" i="28"/>
  <c r="I119" i="28"/>
  <c r="I131" i="28" s="1"/>
  <c r="G210" i="28"/>
  <c r="H117" i="28"/>
  <c r="G35" i="30" s="1"/>
  <c r="G37" i="30" s="1"/>
  <c r="J117" i="28"/>
  <c r="I35" i="30" s="1"/>
  <c r="I37" i="30" s="1"/>
  <c r="F210" i="28"/>
  <c r="L99" i="28"/>
  <c r="H210" i="28"/>
  <c r="J210" i="28"/>
  <c r="K210" i="28"/>
  <c r="G99" i="28"/>
  <c r="L81" i="28"/>
  <c r="K28" i="30" s="1"/>
  <c r="F81" i="28"/>
  <c r="G81" i="28"/>
  <c r="F28" i="30" s="1"/>
  <c r="J81" i="28"/>
  <c r="I28" i="30" s="1"/>
  <c r="H81" i="28"/>
  <c r="G28" i="30" s="1"/>
  <c r="K81" i="28"/>
  <c r="J28" i="30" s="1"/>
  <c r="I81" i="28"/>
  <c r="E101" i="28"/>
  <c r="E113" i="28" s="1"/>
  <c r="L83" i="28"/>
  <c r="J30" i="30" l="1"/>
  <c r="J58" i="30" s="1"/>
  <c r="J56" i="30"/>
  <c r="I209" i="28"/>
  <c r="H28" i="30"/>
  <c r="F30" i="30"/>
  <c r="F58" i="30" s="1"/>
  <c r="F56" i="30"/>
  <c r="G30" i="30"/>
  <c r="G58" i="30" s="1"/>
  <c r="G56" i="30"/>
  <c r="F209" i="28"/>
  <c r="E28" i="30"/>
  <c r="I30" i="30"/>
  <c r="I58" i="30" s="1"/>
  <c r="I56" i="30"/>
  <c r="K30" i="30"/>
  <c r="K58" i="30" s="1"/>
  <c r="K56" i="30"/>
  <c r="K209" i="28"/>
  <c r="H209" i="28"/>
  <c r="J209" i="28"/>
  <c r="L209" i="28"/>
  <c r="H119" i="28"/>
  <c r="H131" i="28" s="1"/>
  <c r="L101" i="28"/>
  <c r="L113" i="28" s="1"/>
  <c r="G209" i="28"/>
  <c r="E137" i="28"/>
  <c r="E119" i="28"/>
  <c r="E131" i="28" s="1"/>
  <c r="L119" i="28"/>
  <c r="L131" i="28" s="1"/>
  <c r="K119" i="28"/>
  <c r="K131" i="28" s="1"/>
  <c r="E83" i="28"/>
  <c r="J101" i="28"/>
  <c r="J113" i="28" s="1"/>
  <c r="G101" i="28"/>
  <c r="G113" i="28" s="1"/>
  <c r="H101" i="28"/>
  <c r="H113" i="28" s="1"/>
  <c r="K101" i="28"/>
  <c r="K113" i="28" s="1"/>
  <c r="F101" i="28"/>
  <c r="F113" i="28" s="1"/>
  <c r="I101" i="28"/>
  <c r="I113" i="28" s="1"/>
  <c r="I83" i="28"/>
  <c r="H83" i="28"/>
  <c r="G83" i="28"/>
  <c r="J83" i="28"/>
  <c r="F83" i="28"/>
  <c r="K83" i="28"/>
  <c r="E30" i="30" l="1"/>
  <c r="E58" i="30" s="1"/>
  <c r="E56" i="30"/>
  <c r="H30" i="30"/>
  <c r="H58" i="30" s="1"/>
  <c r="H56" i="30"/>
  <c r="F119" i="28"/>
  <c r="F131" i="28" s="1"/>
  <c r="G119" i="28"/>
  <c r="G131" i="28" s="1"/>
  <c r="E149" i="28"/>
  <c r="E211" i="28"/>
  <c r="K137" i="28"/>
  <c r="L137" i="28"/>
  <c r="H137" i="28"/>
  <c r="G137" i="28"/>
  <c r="I137" i="28"/>
  <c r="J137" i="28"/>
  <c r="F137" i="28"/>
  <c r="J119" i="28"/>
  <c r="J131" i="28" s="1"/>
  <c r="D224" i="12" l="1"/>
  <c r="F235" i="28"/>
  <c r="F239" i="28" s="1"/>
  <c r="F244" i="28" s="1"/>
  <c r="E235" i="28"/>
  <c r="E238" i="28" s="1"/>
  <c r="G149" i="28"/>
  <c r="F224" i="12" s="1"/>
  <c r="H149" i="28"/>
  <c r="G224" i="12" s="1"/>
  <c r="L149" i="28"/>
  <c r="K224" i="12" s="1"/>
  <c r="F149" i="28"/>
  <c r="E224" i="12" s="1"/>
  <c r="K149" i="28"/>
  <c r="J224" i="12" s="1"/>
  <c r="J149" i="28"/>
  <c r="I224" i="12" s="1"/>
  <c r="I149" i="28"/>
  <c r="H224" i="12" s="1"/>
  <c r="I211" i="28"/>
  <c r="H211" i="28"/>
  <c r="G211" i="28"/>
  <c r="K211" i="28"/>
  <c r="F211" i="28"/>
  <c r="J211" i="28"/>
  <c r="B131" i="12"/>
  <c r="B113" i="12"/>
  <c r="B130" i="12"/>
  <c r="L21" i="28"/>
  <c r="B38" i="28"/>
  <c r="B36" i="28"/>
  <c r="B35" i="28"/>
  <c r="B34" i="28"/>
  <c r="B33" i="28"/>
  <c r="B32" i="28"/>
  <c r="B31" i="28"/>
  <c r="B30" i="28"/>
  <c r="B29" i="28"/>
  <c r="B28" i="28"/>
  <c r="B27" i="28"/>
  <c r="L11" i="28"/>
  <c r="L211" i="28" s="1"/>
  <c r="L10" i="28"/>
  <c r="L210" i="28" s="1"/>
  <c r="E18" i="28"/>
  <c r="E16" i="28"/>
  <c r="E15" i="28"/>
  <c r="E14" i="28"/>
  <c r="E13" i="28"/>
  <c r="E12" i="28"/>
  <c r="E212" i="28" s="1"/>
  <c r="B106" i="12"/>
  <c r="B105" i="12"/>
  <c r="B104" i="12"/>
  <c r="B103" i="12"/>
  <c r="B102" i="12"/>
  <c r="B101" i="12"/>
  <c r="B99" i="12"/>
  <c r="B98" i="12"/>
  <c r="B79" i="12"/>
  <c r="B78" i="12"/>
  <c r="B77" i="12"/>
  <c r="B76" i="12"/>
  <c r="B75" i="12"/>
  <c r="B74" i="12"/>
  <c r="B72" i="12"/>
  <c r="B71" i="12"/>
  <c r="F73" i="55"/>
  <c r="E73" i="55"/>
  <c r="E72" i="55"/>
  <c r="E81" i="55" s="1"/>
  <c r="E88" i="55" s="1"/>
  <c r="E71" i="55"/>
  <c r="E80" i="55" s="1"/>
  <c r="E87" i="55" s="1"/>
  <c r="F69" i="55"/>
  <c r="F78" i="55" s="1"/>
  <c r="F85" i="55" s="1"/>
  <c r="E69" i="55"/>
  <c r="E78" i="55" s="1"/>
  <c r="E85" i="55" s="1"/>
  <c r="E68" i="55"/>
  <c r="G69" i="55"/>
  <c r="F68" i="55"/>
  <c r="F3" i="55"/>
  <c r="G3" i="55" s="1"/>
  <c r="H3" i="55" s="1"/>
  <c r="I3" i="55" s="1"/>
  <c r="J3" i="55" s="1"/>
  <c r="K3" i="55" s="1"/>
  <c r="L3" i="55" s="1"/>
  <c r="M3" i="55" s="1"/>
  <c r="C33" i="9"/>
  <c r="C32" i="9"/>
  <c r="C31" i="9"/>
  <c r="C46" i="9"/>
  <c r="C36" i="9" s="1"/>
  <c r="C45" i="9"/>
  <c r="C35" i="9" s="1"/>
  <c r="C44" i="9"/>
  <c r="C34" i="9" s="1"/>
  <c r="C43" i="9"/>
  <c r="C42" i="9"/>
  <c r="C41" i="9"/>
  <c r="C40" i="9"/>
  <c r="C30" i="9" s="1"/>
  <c r="C39" i="9"/>
  <c r="C29" i="9" s="1"/>
  <c r="C38" i="9"/>
  <c r="C28" i="9" s="1"/>
  <c r="C25" i="9"/>
  <c r="C14" i="9"/>
  <c r="F94" i="28" l="1"/>
  <c r="F251" i="28"/>
  <c r="F257" i="28" s="1"/>
  <c r="E239" i="28"/>
  <c r="E244" i="28" s="1"/>
  <c r="E243" i="28"/>
  <c r="E237" i="28"/>
  <c r="E242" i="28" s="1"/>
  <c r="E240" i="28"/>
  <c r="E245" i="28" s="1"/>
  <c r="F238" i="28"/>
  <c r="F243" i="28" s="1"/>
  <c r="F237" i="28"/>
  <c r="F242" i="28" s="1"/>
  <c r="F240" i="28"/>
  <c r="F245" i="28" s="1"/>
  <c r="F15" i="28"/>
  <c r="E215" i="28"/>
  <c r="F16" i="28"/>
  <c r="E216" i="28"/>
  <c r="F18" i="28"/>
  <c r="E218" i="28"/>
  <c r="F13" i="28"/>
  <c r="E213" i="28"/>
  <c r="F14" i="28"/>
  <c r="E214" i="28"/>
  <c r="E217" i="28"/>
  <c r="F12" i="28"/>
  <c r="F212" i="28" s="1"/>
  <c r="E59" i="55"/>
  <c r="E91" i="55" s="1"/>
  <c r="G72" i="55"/>
  <c r="G81" i="55" s="1"/>
  <c r="G88" i="55" s="1"/>
  <c r="F82" i="55"/>
  <c r="F89" i="55" s="1"/>
  <c r="E82" i="55"/>
  <c r="E89" i="55" s="1"/>
  <c r="F71" i="55"/>
  <c r="F72" i="55"/>
  <c r="F81" i="55" s="1"/>
  <c r="F88" i="55" s="1"/>
  <c r="G71" i="55"/>
  <c r="G80" i="55" s="1"/>
  <c r="G87" i="55" s="1"/>
  <c r="G78" i="55"/>
  <c r="G85" i="55" s="1"/>
  <c r="F77" i="55"/>
  <c r="F84" i="55" s="1"/>
  <c r="E77" i="55"/>
  <c r="E84" i="55" s="1"/>
  <c r="G68" i="55"/>
  <c r="G77" i="55" s="1"/>
  <c r="G84" i="55" s="1"/>
  <c r="F167" i="28" l="1"/>
  <c r="F250" i="28"/>
  <c r="F256" i="28" s="1"/>
  <c r="E58" i="28"/>
  <c r="E59" i="28" s="1"/>
  <c r="E252" i="28"/>
  <c r="E22" i="28"/>
  <c r="E249" i="28"/>
  <c r="E274" i="28" s="1"/>
  <c r="F274" i="28" s="1"/>
  <c r="F22" i="28"/>
  <c r="F249" i="28"/>
  <c r="E166" i="28"/>
  <c r="E167" i="28" s="1"/>
  <c r="E250" i="28"/>
  <c r="E94" i="28"/>
  <c r="E251" i="28"/>
  <c r="F58" i="28"/>
  <c r="F59" i="28" s="1"/>
  <c r="F252" i="28"/>
  <c r="F258" i="28" s="1"/>
  <c r="E246" i="28"/>
  <c r="F246" i="28"/>
  <c r="G14" i="28"/>
  <c r="F214" i="28"/>
  <c r="G13" i="28"/>
  <c r="F213" i="28"/>
  <c r="G18" i="28"/>
  <c r="F218" i="28"/>
  <c r="G16" i="28"/>
  <c r="F216" i="28"/>
  <c r="G15" i="28"/>
  <c r="F215" i="28"/>
  <c r="F217" i="28"/>
  <c r="G12" i="28"/>
  <c r="G212" i="28" s="1"/>
  <c r="F59" i="55"/>
  <c r="F91" i="55" s="1"/>
  <c r="E75" i="55"/>
  <c r="H68" i="55"/>
  <c r="H73" i="55"/>
  <c r="G73" i="55"/>
  <c r="G59" i="55" s="1"/>
  <c r="G91" i="55" s="1"/>
  <c r="F80" i="55"/>
  <c r="F87" i="55" s="1"/>
  <c r="H71" i="55"/>
  <c r="H80" i="55" s="1"/>
  <c r="H87" i="55" s="1"/>
  <c r="H69" i="55"/>
  <c r="H78" i="55" s="1"/>
  <c r="H85" i="55" s="1"/>
  <c r="D7" i="60" l="1"/>
  <c r="E258" i="28"/>
  <c r="E277" i="28"/>
  <c r="F277" i="28" s="1"/>
  <c r="E256" i="28"/>
  <c r="E275" i="28"/>
  <c r="F275" i="28" s="1"/>
  <c r="E257" i="28"/>
  <c r="E276" i="28"/>
  <c r="F276" i="28" s="1"/>
  <c r="E255" i="28"/>
  <c r="E254" i="28" s="1"/>
  <c r="E248" i="28"/>
  <c r="F248" i="28"/>
  <c r="F255" i="28"/>
  <c r="F254" i="28" s="1"/>
  <c r="F222" i="28"/>
  <c r="F272" i="28" s="1"/>
  <c r="E222" i="28"/>
  <c r="E272" i="28" s="1"/>
  <c r="H15" i="28"/>
  <c r="G215" i="28"/>
  <c r="H16" i="28"/>
  <c r="G216" i="28"/>
  <c r="H18" i="28"/>
  <c r="G218" i="28"/>
  <c r="H13" i="28"/>
  <c r="G213" i="28"/>
  <c r="H14" i="28"/>
  <c r="G214" i="28"/>
  <c r="G217" i="28"/>
  <c r="H12" i="28"/>
  <c r="H212" i="28" s="1"/>
  <c r="G82" i="55"/>
  <c r="G89" i="55" s="1"/>
  <c r="F75" i="55"/>
  <c r="I68" i="55"/>
  <c r="I77" i="55" s="1"/>
  <c r="I69" i="55"/>
  <c r="I78" i="55" s="1"/>
  <c r="I85" i="55" s="1"/>
  <c r="I71" i="55"/>
  <c r="I80" i="55" s="1"/>
  <c r="I87" i="55" s="1"/>
  <c r="I73" i="55"/>
  <c r="H77" i="55"/>
  <c r="H72" i="55"/>
  <c r="H81" i="55" s="1"/>
  <c r="H88" i="55" s="1"/>
  <c r="G75" i="55"/>
  <c r="I14" i="28" l="1"/>
  <c r="H214" i="28"/>
  <c r="I13" i="28"/>
  <c r="H213" i="28"/>
  <c r="I18" i="28"/>
  <c r="H218" i="28"/>
  <c r="I16" i="28"/>
  <c r="H216" i="28"/>
  <c r="I15" i="28"/>
  <c r="H215" i="28"/>
  <c r="H217" i="28"/>
  <c r="I12" i="28"/>
  <c r="I212" i="28" s="1"/>
  <c r="H59" i="55"/>
  <c r="H91" i="55" s="1"/>
  <c r="J71" i="55"/>
  <c r="J80" i="55" s="1"/>
  <c r="J87" i="55" s="1"/>
  <c r="J69" i="55"/>
  <c r="J78" i="55" s="1"/>
  <c r="J85" i="55" s="1"/>
  <c r="J68" i="55"/>
  <c r="J77" i="55" s="1"/>
  <c r="I82" i="55"/>
  <c r="I89" i="55" s="1"/>
  <c r="I72" i="55"/>
  <c r="I81" i="55" s="1"/>
  <c r="J73" i="55"/>
  <c r="H82" i="55"/>
  <c r="H89" i="55" s="1"/>
  <c r="I84" i="55"/>
  <c r="H84" i="55"/>
  <c r="J15" i="28" l="1"/>
  <c r="I215" i="28"/>
  <c r="J16" i="28"/>
  <c r="I216" i="28"/>
  <c r="J13" i="28"/>
  <c r="I213" i="28"/>
  <c r="J18" i="28"/>
  <c r="I218" i="28"/>
  <c r="J14" i="28"/>
  <c r="I214" i="28"/>
  <c r="I217" i="28"/>
  <c r="J12" i="28"/>
  <c r="J212" i="28" s="1"/>
  <c r="I59" i="55"/>
  <c r="I91" i="55" s="1"/>
  <c r="H75" i="55"/>
  <c r="J84" i="55"/>
  <c r="I88" i="55"/>
  <c r="I75" i="55"/>
  <c r="K69" i="55"/>
  <c r="K78" i="55" s="1"/>
  <c r="K85" i="55" s="1"/>
  <c r="K71" i="55"/>
  <c r="K80" i="55" s="1"/>
  <c r="K87" i="55" s="1"/>
  <c r="J72" i="55"/>
  <c r="J81" i="55" s="1"/>
  <c r="J88" i="55" s="1"/>
  <c r="K73" i="55"/>
  <c r="K68" i="55"/>
  <c r="K14" i="28" l="1"/>
  <c r="J214" i="28"/>
  <c r="K13" i="28"/>
  <c r="J213" i="28"/>
  <c r="K18" i="28"/>
  <c r="J218" i="28"/>
  <c r="K16" i="28"/>
  <c r="J216" i="28"/>
  <c r="K15" i="28"/>
  <c r="J215" i="28"/>
  <c r="J217" i="28"/>
  <c r="K12" i="28"/>
  <c r="K212" i="28" s="1"/>
  <c r="J59" i="55"/>
  <c r="J91" i="55" s="1"/>
  <c r="J82" i="55"/>
  <c r="J89" i="55" s="1"/>
  <c r="K82" i="55"/>
  <c r="K89" i="55" s="1"/>
  <c r="L69" i="55"/>
  <c r="L78" i="55" s="1"/>
  <c r="L85" i="55" s="1"/>
  <c r="K72" i="55"/>
  <c r="K59" i="55" s="1"/>
  <c r="K91" i="55" s="1"/>
  <c r="L68" i="55"/>
  <c r="L71" i="55"/>
  <c r="L80" i="55" s="1"/>
  <c r="L87" i="55" s="1"/>
  <c r="L73" i="55"/>
  <c r="K77" i="55"/>
  <c r="L16" i="28" l="1"/>
  <c r="L216" i="28" s="1"/>
  <c r="K216" i="28"/>
  <c r="L18" i="28"/>
  <c r="L218" i="28" s="1"/>
  <c r="K218" i="28"/>
  <c r="L13" i="28"/>
  <c r="L213" i="28" s="1"/>
  <c r="K213" i="28"/>
  <c r="L15" i="28"/>
  <c r="L215" i="28" s="1"/>
  <c r="K215" i="28"/>
  <c r="L14" i="28"/>
  <c r="L214" i="28" s="1"/>
  <c r="K214" i="28"/>
  <c r="L217" i="28"/>
  <c r="K217" i="28"/>
  <c r="L12" i="28"/>
  <c r="L212" i="28" s="1"/>
  <c r="J75" i="55"/>
  <c r="K81" i="55"/>
  <c r="K88" i="55" s="1"/>
  <c r="M73" i="55"/>
  <c r="L77" i="55"/>
  <c r="L72" i="55"/>
  <c r="L59" i="55" s="1"/>
  <c r="L91" i="55" s="1"/>
  <c r="M71" i="55"/>
  <c r="M80" i="55" s="1"/>
  <c r="M87" i="55" s="1"/>
  <c r="M68" i="55"/>
  <c r="M77" i="55" s="1"/>
  <c r="K84" i="55"/>
  <c r="M69" i="55"/>
  <c r="M78" i="55" s="1"/>
  <c r="M85" i="55" s="1"/>
  <c r="L81" i="55" l="1"/>
  <c r="L88" i="55" s="1"/>
  <c r="K75" i="55"/>
  <c r="M84" i="55"/>
  <c r="M72" i="55"/>
  <c r="M81" i="55" s="1"/>
  <c r="L82" i="55"/>
  <c r="L89" i="55" s="1"/>
  <c r="L84" i="55"/>
  <c r="M59" i="55" l="1"/>
  <c r="M91" i="55" s="1"/>
  <c r="M88" i="55"/>
  <c r="M82" i="55"/>
  <c r="M89" i="55" s="1"/>
  <c r="L75" i="55"/>
  <c r="M75" i="55" l="1"/>
  <c r="D3" i="28" l="1"/>
  <c r="D19" i="28" s="1"/>
  <c r="D7" i="7"/>
  <c r="E7" i="7"/>
  <c r="F7" i="7"/>
  <c r="G7" i="7"/>
  <c r="D8" i="7"/>
  <c r="E8" i="7"/>
  <c r="F8" i="7"/>
  <c r="G8" i="7"/>
  <c r="D20" i="7"/>
  <c r="E20" i="7"/>
  <c r="F20" i="7"/>
  <c r="G20" i="7"/>
  <c r="FV43" i="27"/>
  <c r="FU43" i="27"/>
  <c r="FT43" i="27"/>
  <c r="FS43" i="27"/>
  <c r="FV42" i="27"/>
  <c r="FU42" i="27"/>
  <c r="FT42" i="27"/>
  <c r="FV41" i="27"/>
  <c r="FU41" i="27"/>
  <c r="FT41" i="27"/>
  <c r="ED43" i="27"/>
  <c r="EC43" i="27"/>
  <c r="EB43" i="27"/>
  <c r="EA43" i="27"/>
  <c r="ED42" i="27"/>
  <c r="EC42" i="27"/>
  <c r="EB42" i="27"/>
  <c r="ED41" i="27"/>
  <c r="EC41" i="27"/>
  <c r="EB41" i="27"/>
  <c r="DN22" i="27"/>
  <c r="EJ22" i="27" s="1"/>
  <c r="DM22" i="27"/>
  <c r="EI22" i="27" s="1"/>
  <c r="DL22" i="27"/>
  <c r="EH22" i="27" s="1"/>
  <c r="DK22" i="27"/>
  <c r="EG22" i="27" s="1"/>
  <c r="DJ22" i="27"/>
  <c r="EF22" i="27" s="1"/>
  <c r="DI22" i="27"/>
  <c r="EE22" i="27" s="1"/>
  <c r="DH22" i="27"/>
  <c r="ED22" i="27" s="1"/>
  <c r="FV22" i="27" s="1"/>
  <c r="DG22" i="27"/>
  <c r="EC22" i="27" s="1"/>
  <c r="FU22" i="27" s="1"/>
  <c r="DF22" i="27"/>
  <c r="EB22" i="27" s="1"/>
  <c r="FT22" i="27" s="1"/>
  <c r="DE22" i="27"/>
  <c r="EA22" i="27" s="1"/>
  <c r="FS22" i="27" s="1"/>
  <c r="DN19" i="27"/>
  <c r="EJ19" i="27" s="1"/>
  <c r="DM19" i="27"/>
  <c r="EI19" i="27" s="1"/>
  <c r="DL19" i="27"/>
  <c r="EH19" i="27" s="1"/>
  <c r="DK19" i="27"/>
  <c r="EG19" i="27" s="1"/>
  <c r="DJ19" i="27"/>
  <c r="EF19" i="27" s="1"/>
  <c r="DI19" i="27"/>
  <c r="EE19" i="27" s="1"/>
  <c r="DH19" i="27"/>
  <c r="ED19" i="27" s="1"/>
  <c r="DG19" i="27"/>
  <c r="EC19" i="27" s="1"/>
  <c r="DF19" i="27"/>
  <c r="EB19" i="27" s="1"/>
  <c r="FT19" i="27" s="1"/>
  <c r="DE19" i="27"/>
  <c r="EA19" i="27" s="1"/>
  <c r="FS19" i="27" s="1"/>
  <c r="DN10" i="27"/>
  <c r="EJ10" i="27" s="1"/>
  <c r="DM10" i="27"/>
  <c r="EI10" i="27" s="1"/>
  <c r="DL10" i="27"/>
  <c r="EH10" i="27" s="1"/>
  <c r="DK10" i="27"/>
  <c r="EG10" i="27" s="1"/>
  <c r="DJ10" i="27"/>
  <c r="EF10" i="27" s="1"/>
  <c r="DI10" i="27"/>
  <c r="EE10" i="27" s="1"/>
  <c r="DH10" i="27"/>
  <c r="ED10" i="27" s="1"/>
  <c r="FV10" i="27" s="1"/>
  <c r="DG10" i="27"/>
  <c r="EC10" i="27" s="1"/>
  <c r="FU10" i="27" s="1"/>
  <c r="DF10" i="27"/>
  <c r="EB10" i="27" s="1"/>
  <c r="FT10" i="27" s="1"/>
  <c r="DE10" i="27"/>
  <c r="EA10" i="27" s="1"/>
  <c r="FS10" i="27" s="1"/>
  <c r="DN9" i="27"/>
  <c r="EJ9" i="27" s="1"/>
  <c r="DM9" i="27"/>
  <c r="EI9" i="27" s="1"/>
  <c r="DL9" i="27"/>
  <c r="EH9" i="27" s="1"/>
  <c r="DK9" i="27"/>
  <c r="EG9" i="27" s="1"/>
  <c r="DJ9" i="27"/>
  <c r="EF9" i="27" s="1"/>
  <c r="DI9" i="27"/>
  <c r="EE9" i="27" s="1"/>
  <c r="DH9" i="27"/>
  <c r="ED9" i="27" s="1"/>
  <c r="FV9" i="27" s="1"/>
  <c r="DG9" i="27"/>
  <c r="EC9" i="27" s="1"/>
  <c r="FU9" i="27" s="1"/>
  <c r="DF9" i="27"/>
  <c r="EB9" i="27" s="1"/>
  <c r="FT9" i="27" s="1"/>
  <c r="DE9" i="27"/>
  <c r="EA9" i="27" s="1"/>
  <c r="FS9" i="27" s="1"/>
  <c r="G19" i="7"/>
  <c r="F19" i="7"/>
  <c r="E19" i="7"/>
  <c r="D19" i="7"/>
  <c r="G18" i="7"/>
  <c r="F18" i="7"/>
  <c r="E18" i="7"/>
  <c r="D18" i="7"/>
  <c r="G17" i="7"/>
  <c r="F17" i="7"/>
  <c r="E17" i="7"/>
  <c r="D17" i="7"/>
  <c r="G16" i="7"/>
  <c r="F16" i="7"/>
  <c r="E16" i="7"/>
  <c r="D16" i="7"/>
  <c r="G15" i="7"/>
  <c r="F15" i="7"/>
  <c r="E15" i="7"/>
  <c r="D15" i="7"/>
  <c r="G14" i="7"/>
  <c r="F14" i="7"/>
  <c r="E14" i="7"/>
  <c r="D14" i="7"/>
  <c r="G13" i="7"/>
  <c r="F13" i="7"/>
  <c r="E13" i="7"/>
  <c r="D13" i="7"/>
  <c r="G12" i="7"/>
  <c r="F12" i="7"/>
  <c r="E12" i="7"/>
  <c r="D12" i="7"/>
  <c r="G11" i="7"/>
  <c r="F11" i="7"/>
  <c r="E11" i="7"/>
  <c r="D11" i="7"/>
  <c r="G10" i="7"/>
  <c r="F10" i="7"/>
  <c r="E10" i="7"/>
  <c r="D10" i="7"/>
  <c r="G9" i="7"/>
  <c r="F9" i="7"/>
  <c r="E9" i="7"/>
  <c r="D9" i="7"/>
  <c r="G6" i="7"/>
  <c r="F6" i="7"/>
  <c r="E6" i="7"/>
  <c r="D6" i="7"/>
  <c r="CG5" i="27"/>
  <c r="BK5" i="27"/>
  <c r="AZ5" i="27"/>
  <c r="AO5" i="27"/>
  <c r="AD5" i="27"/>
  <c r="S5" i="27"/>
  <c r="FW22" i="27" l="1"/>
  <c r="G37" i="7"/>
  <c r="FW9" i="27"/>
  <c r="G24" i="7"/>
  <c r="FW10" i="27"/>
  <c r="G25" i="7"/>
  <c r="GA22" i="27"/>
  <c r="K37" i="7"/>
  <c r="FY22" i="27"/>
  <c r="I37" i="7"/>
  <c r="FX9" i="27"/>
  <c r="H24" i="7"/>
  <c r="FZ10" i="27"/>
  <c r="J25" i="7"/>
  <c r="GB22" i="27"/>
  <c r="L37" i="7"/>
  <c r="GA10" i="27"/>
  <c r="K25" i="7"/>
  <c r="FX10" i="27"/>
  <c r="H25" i="7"/>
  <c r="GB10" i="27"/>
  <c r="L25" i="7"/>
  <c r="GA9" i="27"/>
  <c r="K24" i="7"/>
  <c r="FZ22" i="27"/>
  <c r="J37" i="7"/>
  <c r="FY9" i="27"/>
  <c r="I24" i="7"/>
  <c r="GB9" i="27"/>
  <c r="L24" i="7"/>
  <c r="FY10" i="27"/>
  <c r="I25" i="7"/>
  <c r="FZ9" i="27"/>
  <c r="J24" i="7"/>
  <c r="FX22" i="27"/>
  <c r="H37" i="7"/>
  <c r="GA19" i="27"/>
  <c r="K34" i="7"/>
  <c r="GB19" i="27"/>
  <c r="L34" i="7"/>
  <c r="FY19" i="27"/>
  <c r="I34" i="7"/>
  <c r="FX19" i="27"/>
  <c r="H34" i="7"/>
  <c r="FZ19" i="27"/>
  <c r="J34" i="7"/>
  <c r="FU19" i="27"/>
  <c r="E34" i="7"/>
  <c r="FV19" i="27"/>
  <c r="F34" i="7"/>
  <c r="FW19" i="27"/>
  <c r="G34" i="7"/>
  <c r="D23" i="28"/>
  <c r="C116" i="12"/>
  <c r="C115" i="12"/>
  <c r="C114" i="12"/>
  <c r="C124" i="12"/>
  <c r="C123" i="12"/>
  <c r="C120" i="12"/>
  <c r="C119" i="12"/>
  <c r="C121" i="12"/>
  <c r="D93" i="28"/>
  <c r="D38" i="28"/>
  <c r="D41" i="28" s="1"/>
  <c r="K96" i="12"/>
  <c r="J96" i="12"/>
  <c r="I96" i="12"/>
  <c r="H96" i="12"/>
  <c r="G96" i="12"/>
  <c r="F96" i="12"/>
  <c r="E96" i="12"/>
  <c r="D96" i="12"/>
  <c r="C96" i="12"/>
  <c r="B66" i="12"/>
  <c r="B93" i="12"/>
  <c r="D221" i="28" l="1"/>
  <c r="C122" i="12"/>
  <c r="D219" i="28"/>
  <c r="C112" i="12"/>
  <c r="B62" i="12"/>
  <c r="B89" i="12"/>
  <c r="F31" i="1"/>
  <c r="E31" i="1"/>
  <c r="D31" i="1"/>
  <c r="C31" i="1"/>
  <c r="F27" i="1"/>
  <c r="D27" i="1"/>
  <c r="C27" i="1"/>
  <c r="CN15" i="1"/>
  <c r="CN49" i="1" s="1"/>
  <c r="CN14" i="1"/>
  <c r="CN48" i="1" s="1"/>
  <c r="CN13" i="1"/>
  <c r="CC15" i="1"/>
  <c r="CC49" i="1" s="1"/>
  <c r="CC14" i="1"/>
  <c r="CC48" i="1" s="1"/>
  <c r="CC13" i="1"/>
  <c r="BR15" i="1"/>
  <c r="BR49" i="1" s="1"/>
  <c r="BR14" i="1"/>
  <c r="BR48" i="1" s="1"/>
  <c r="BR13" i="1"/>
  <c r="BR38" i="1" s="1"/>
  <c r="BS5" i="1"/>
  <c r="BG15" i="1"/>
  <c r="BG49" i="1" s="1"/>
  <c r="BG14" i="1"/>
  <c r="BG48" i="1" s="1"/>
  <c r="BG13" i="1"/>
  <c r="AV11" i="1"/>
  <c r="AV10" i="1"/>
  <c r="AV18" i="1" s="1"/>
  <c r="AV44" i="1"/>
  <c r="AK11" i="1"/>
  <c r="AK10" i="1"/>
  <c r="AK18" i="1" s="1"/>
  <c r="AK9" i="1"/>
  <c r="AK44" i="1" s="1"/>
  <c r="Z15" i="1"/>
  <c r="Z14" i="1"/>
  <c r="Z13" i="1"/>
  <c r="Z11" i="1"/>
  <c r="Z10" i="1"/>
  <c r="Z18" i="1" s="1"/>
  <c r="Z9" i="1"/>
  <c r="C136" i="12" l="1"/>
  <c r="Z44" i="1"/>
  <c r="BT5" i="1"/>
  <c r="BT14" i="1" s="1"/>
  <c r="BT48" i="1" s="1"/>
  <c r="BS67" i="1"/>
  <c r="BS68" i="1"/>
  <c r="BS14" i="1"/>
  <c r="BS48" i="1" s="1"/>
  <c r="BS13" i="1"/>
  <c r="BS38" i="1" s="1"/>
  <c r="BS44" i="1" s="1"/>
  <c r="BS15" i="1"/>
  <c r="BS49" i="1" s="1"/>
  <c r="BR44" i="1"/>
  <c r="BR61" i="1" s="1"/>
  <c r="BT13" i="1" l="1"/>
  <c r="BT38" i="1" s="1"/>
  <c r="BT44" i="1" s="1"/>
  <c r="BT15" i="1"/>
  <c r="BT49" i="1" s="1"/>
  <c r="BU5" i="1"/>
  <c r="BT67" i="1"/>
  <c r="BT68" i="1"/>
  <c r="BS61" i="1"/>
  <c r="BR42" i="1"/>
  <c r="BS42" i="1"/>
  <c r="BS52" i="1" s="1"/>
  <c r="BT61" i="1" l="1"/>
  <c r="BT42" i="1"/>
  <c r="BT51" i="1" s="1"/>
  <c r="BV5" i="1"/>
  <c r="BU67" i="1"/>
  <c r="BU68" i="1"/>
  <c r="BU15" i="1"/>
  <c r="BU49" i="1" s="1"/>
  <c r="BU13" i="1"/>
  <c r="BU38" i="1" s="1"/>
  <c r="BU14" i="1"/>
  <c r="BU48" i="1" s="1"/>
  <c r="BT45" i="1"/>
  <c r="BT46" i="1" s="1"/>
  <c r="BT52" i="1"/>
  <c r="BR45" i="1"/>
  <c r="BR46" i="1" s="1"/>
  <c r="BR52" i="1"/>
  <c r="BR51" i="1"/>
  <c r="BS45" i="1"/>
  <c r="BS46" i="1" s="1"/>
  <c r="BS51" i="1"/>
  <c r="BR53" i="1" l="1"/>
  <c r="BU44" i="1"/>
  <c r="BU61" i="1" s="1"/>
  <c r="BT53" i="1"/>
  <c r="BW5" i="1"/>
  <c r="BV67" i="1"/>
  <c r="BV68" i="1"/>
  <c r="BV13" i="1"/>
  <c r="BV38" i="1" s="1"/>
  <c r="BV15" i="1"/>
  <c r="BV49" i="1" s="1"/>
  <c r="BV14" i="1"/>
  <c r="BV48" i="1" s="1"/>
  <c r="BS53" i="1"/>
  <c r="BU42" i="1" l="1"/>
  <c r="BU52" i="1" s="1"/>
  <c r="BV44" i="1"/>
  <c r="BV61" i="1" s="1"/>
  <c r="BX5" i="1"/>
  <c r="BW67" i="1"/>
  <c r="BW68" i="1"/>
  <c r="BW13" i="1"/>
  <c r="BW38" i="1" s="1"/>
  <c r="BW15" i="1"/>
  <c r="BW49" i="1" s="1"/>
  <c r="BW14" i="1"/>
  <c r="BW48" i="1" s="1"/>
  <c r="BU51" i="1" l="1"/>
  <c r="BU53" i="1" s="1"/>
  <c r="BU45" i="1"/>
  <c r="BU46" i="1" s="1"/>
  <c r="BV42" i="1"/>
  <c r="BV52" i="1" s="1"/>
  <c r="BW44" i="1"/>
  <c r="BW61" i="1" s="1"/>
  <c r="BY5" i="1"/>
  <c r="BX68" i="1"/>
  <c r="BX67" i="1"/>
  <c r="BX14" i="1"/>
  <c r="BX48" i="1" s="1"/>
  <c r="BX13" i="1"/>
  <c r="BX38" i="1" s="1"/>
  <c r="BX15" i="1"/>
  <c r="BX49" i="1" s="1"/>
  <c r="O11" i="1"/>
  <c r="O13" i="1"/>
  <c r="O9" i="1"/>
  <c r="O10" i="1" s="1"/>
  <c r="O18" i="1" s="1"/>
  <c r="G32" i="1"/>
  <c r="E26" i="1"/>
  <c r="E27" i="1" s="1"/>
  <c r="F32" i="1"/>
  <c r="BV51" i="1" l="1"/>
  <c r="BV53" i="1" s="1"/>
  <c r="BV45" i="1"/>
  <c r="BV46" i="1" s="1"/>
  <c r="BW42" i="1"/>
  <c r="BW45" i="1" s="1"/>
  <c r="BW46" i="1" s="1"/>
  <c r="O44" i="1"/>
  <c r="BZ5" i="1"/>
  <c r="BY68" i="1"/>
  <c r="BY67" i="1"/>
  <c r="BY13" i="1"/>
  <c r="BY38" i="1" s="1"/>
  <c r="BY14" i="1"/>
  <c r="BY48" i="1" s="1"/>
  <c r="BY15" i="1"/>
  <c r="BY49" i="1" s="1"/>
  <c r="BX44" i="1"/>
  <c r="BX61" i="1" s="1"/>
  <c r="O15" i="1"/>
  <c r="O14" i="1"/>
  <c r="E40" i="48"/>
  <c r="F39" i="48"/>
  <c r="E39" i="48"/>
  <c r="D40" i="48"/>
  <c r="D39" i="48"/>
  <c r="M35" i="48"/>
  <c r="L35" i="48"/>
  <c r="K35" i="48"/>
  <c r="J35" i="48"/>
  <c r="I35" i="48"/>
  <c r="H35" i="48"/>
  <c r="G35" i="48"/>
  <c r="F35" i="48"/>
  <c r="E35" i="48"/>
  <c r="D35" i="48"/>
  <c r="D60" i="36"/>
  <c r="BW52" i="1" l="1"/>
  <c r="BW51" i="1"/>
  <c r="BW53" i="1" s="1"/>
  <c r="BY44" i="1"/>
  <c r="BY61" i="1" s="1"/>
  <c r="BX42" i="1"/>
  <c r="CA5" i="1"/>
  <c r="BZ68" i="1"/>
  <c r="BZ67" i="1"/>
  <c r="BZ14" i="1"/>
  <c r="BZ48" i="1" s="1"/>
  <c r="BZ15" i="1"/>
  <c r="BZ49" i="1" s="1"/>
  <c r="BZ13" i="1"/>
  <c r="BZ38" i="1" s="1"/>
  <c r="Z27" i="1"/>
  <c r="CN38" i="1"/>
  <c r="CC38" i="1"/>
  <c r="BG38" i="1"/>
  <c r="BG44" i="1" s="1"/>
  <c r="BY42" i="1" l="1"/>
  <c r="BY45" i="1" s="1"/>
  <c r="BY46" i="1" s="1"/>
  <c r="BZ44" i="1"/>
  <c r="BZ61" i="1" s="1"/>
  <c r="CA13" i="1"/>
  <c r="CA38" i="1" s="1"/>
  <c r="CA44" i="1" s="1"/>
  <c r="CA67" i="1"/>
  <c r="CA68" i="1"/>
  <c r="CA14" i="1"/>
  <c r="CA48" i="1" s="1"/>
  <c r="CA15" i="1"/>
  <c r="CA49" i="1" s="1"/>
  <c r="BX52" i="1"/>
  <c r="BX45" i="1"/>
  <c r="BX46" i="1" s="1"/>
  <c r="BX51" i="1"/>
  <c r="D38" i="48"/>
  <c r="Z31" i="1"/>
  <c r="Z23" i="1"/>
  <c r="BY51" i="1" l="1"/>
  <c r="BY52" i="1"/>
  <c r="BX53" i="1"/>
  <c r="BZ42" i="1"/>
  <c r="BZ45" i="1" s="1"/>
  <c r="BZ46" i="1" s="1"/>
  <c r="CA42" i="1"/>
  <c r="CA61" i="1"/>
  <c r="BY53" i="1" l="1"/>
  <c r="BZ52" i="1"/>
  <c r="BZ51" i="1"/>
  <c r="CA45" i="1"/>
  <c r="CA46" i="1" s="1"/>
  <c r="CA51" i="1"/>
  <c r="CA52" i="1"/>
  <c r="F75" i="36"/>
  <c r="BZ53" i="1" l="1"/>
  <c r="CA53" i="1"/>
  <c r="F17" i="35"/>
  <c r="G17" i="35" s="1"/>
  <c r="H17" i="35" s="1"/>
  <c r="B219" i="28"/>
  <c r="B220" i="28"/>
  <c r="B218" i="28"/>
  <c r="B217" i="28"/>
  <c r="B216" i="28"/>
  <c r="B215" i="28"/>
  <c r="B214" i="28"/>
  <c r="B213" i="28"/>
  <c r="B212" i="28"/>
  <c r="B211" i="28"/>
  <c r="B210" i="28"/>
  <c r="B209" i="28"/>
  <c r="FQ5" i="27"/>
  <c r="FF5" i="27"/>
  <c r="EU5" i="27"/>
  <c r="EJ5" i="27"/>
  <c r="DY5" i="27"/>
  <c r="DN5" i="27"/>
  <c r="DC5" i="27"/>
  <c r="I17" i="35" l="1"/>
  <c r="J17" i="35" s="1"/>
  <c r="K17" i="35" s="1"/>
  <c r="L17" i="35" s="1"/>
  <c r="M17" i="35" s="1"/>
  <c r="N17" i="35" s="1"/>
  <c r="H15" i="35"/>
  <c r="DN23" i="27"/>
  <c r="EJ23" i="27" s="1"/>
  <c r="GB23" i="27" s="1"/>
  <c r="DN24" i="27"/>
  <c r="EJ24" i="27" s="1"/>
  <c r="GB24" i="27" s="1"/>
  <c r="DN25" i="27"/>
  <c r="EJ25" i="27" s="1"/>
  <c r="GB25" i="27" s="1"/>
  <c r="DN13" i="27"/>
  <c r="EJ13" i="27" s="1"/>
  <c r="DN12" i="27"/>
  <c r="EJ12" i="27" s="1"/>
  <c r="DN14" i="27"/>
  <c r="EJ14" i="27" s="1"/>
  <c r="DN15" i="27"/>
  <c r="EJ15" i="27" s="1"/>
  <c r="DN16" i="27"/>
  <c r="EJ16" i="27" s="1"/>
  <c r="DN17" i="27"/>
  <c r="EJ17" i="27" s="1"/>
  <c r="DN18" i="27"/>
  <c r="EJ18" i="27" s="1"/>
  <c r="DN20" i="27"/>
  <c r="EJ20" i="27" s="1"/>
  <c r="DN21" i="27"/>
  <c r="EJ21" i="27" s="1"/>
  <c r="DN8" i="27"/>
  <c r="EJ8" i="27" s="1"/>
  <c r="DN11" i="27"/>
  <c r="EJ11" i="27" s="1"/>
  <c r="DN26" i="27"/>
  <c r="EJ26" i="27" s="1"/>
  <c r="GB26" i="27" s="1"/>
  <c r="DN38" i="27"/>
  <c r="EJ38" i="27" s="1"/>
  <c r="GB38" i="27" s="1"/>
  <c r="DN27" i="27"/>
  <c r="EJ27" i="27" s="1"/>
  <c r="GB27" i="27" s="1"/>
  <c r="DN39" i="27"/>
  <c r="EJ39" i="27" s="1"/>
  <c r="GB39" i="27" s="1"/>
  <c r="DN28" i="27"/>
  <c r="EJ28" i="27" s="1"/>
  <c r="GB28" i="27" s="1"/>
  <c r="DN40" i="27"/>
  <c r="EJ40" i="27" s="1"/>
  <c r="GB40" i="27" s="1"/>
  <c r="DN29" i="27"/>
  <c r="EJ29" i="27" s="1"/>
  <c r="GB29" i="27" s="1"/>
  <c r="DN41" i="27"/>
  <c r="EJ41" i="27" s="1"/>
  <c r="GB41" i="27" s="1"/>
  <c r="DN30" i="27"/>
  <c r="EJ30" i="27" s="1"/>
  <c r="GB30" i="27" s="1"/>
  <c r="DN42" i="27"/>
  <c r="EJ42" i="27" s="1"/>
  <c r="GB42" i="27" s="1"/>
  <c r="DN31" i="27"/>
  <c r="EJ31" i="27" s="1"/>
  <c r="GB31" i="27" s="1"/>
  <c r="DN43" i="27"/>
  <c r="EJ43" i="27" s="1"/>
  <c r="GB43" i="27" s="1"/>
  <c r="DN32" i="27"/>
  <c r="EJ32" i="27" s="1"/>
  <c r="GB32" i="27" s="1"/>
  <c r="DN33" i="27"/>
  <c r="EJ33" i="27" s="1"/>
  <c r="GB33" i="27" s="1"/>
  <c r="EU44" i="27"/>
  <c r="FF15" i="27" s="1"/>
  <c r="DN34" i="27"/>
  <c r="EJ34" i="27" s="1"/>
  <c r="GB34" i="27" s="1"/>
  <c r="DN35" i="27"/>
  <c r="EJ35" i="27" s="1"/>
  <c r="GB35" i="27" s="1"/>
  <c r="DN36" i="27"/>
  <c r="EJ36" i="27" s="1"/>
  <c r="GB36" i="27" s="1"/>
  <c r="DN37" i="27"/>
  <c r="EJ37" i="27" s="1"/>
  <c r="GB37" i="27" s="1"/>
  <c r="BV44" i="34"/>
  <c r="D102" i="36"/>
  <c r="GB20" i="27" l="1"/>
  <c r="L35" i="7"/>
  <c r="GB16" i="27"/>
  <c r="L31" i="7"/>
  <c r="GB15" i="27"/>
  <c r="L30" i="7"/>
  <c r="GB21" i="27"/>
  <c r="L36" i="7"/>
  <c r="GB11" i="27"/>
  <c r="L26" i="7"/>
  <c r="GB8" i="27"/>
  <c r="L23" i="7"/>
  <c r="GB12" i="27"/>
  <c r="L27" i="7"/>
  <c r="GB17" i="27"/>
  <c r="L32" i="7"/>
  <c r="GB18" i="27"/>
  <c r="L33" i="7"/>
  <c r="GB14" i="27"/>
  <c r="L29" i="7"/>
  <c r="GB13" i="27"/>
  <c r="L28" i="7"/>
  <c r="FF14" i="27"/>
  <c r="FF18" i="27"/>
  <c r="FF8" i="27"/>
  <c r="FF17" i="27"/>
  <c r="FF13" i="27"/>
  <c r="FF16" i="27"/>
  <c r="FF20" i="27"/>
  <c r="FF12" i="27"/>
  <c r="FF21" i="27"/>
  <c r="FF19" i="27"/>
  <c r="FF38" i="27"/>
  <c r="FF32" i="27"/>
  <c r="FF26" i="27"/>
  <c r="FF39" i="27"/>
  <c r="FF33" i="27"/>
  <c r="FF27" i="27"/>
  <c r="FF9" i="27"/>
  <c r="FF40" i="27"/>
  <c r="FF34" i="27"/>
  <c r="FF28" i="27"/>
  <c r="FF22" i="27"/>
  <c r="FF10" i="27"/>
  <c r="FF41" i="27"/>
  <c r="FF35" i="27"/>
  <c r="FF29" i="27"/>
  <c r="FF23" i="27"/>
  <c r="FF42" i="27"/>
  <c r="FF36" i="27"/>
  <c r="FF30" i="27"/>
  <c r="FF24" i="27"/>
  <c r="FF31" i="27"/>
  <c r="FF25" i="27"/>
  <c r="FF43" i="27"/>
  <c r="FF37" i="27"/>
  <c r="FF11" i="27"/>
  <c r="DN44" i="27"/>
  <c r="F207" i="36" l="1"/>
  <c r="F210" i="36" s="1"/>
  <c r="F198" i="36"/>
  <c r="F201" i="36" s="1"/>
  <c r="O92" i="36" l="1"/>
  <c r="F141" i="36"/>
  <c r="F140" i="36"/>
  <c r="G140" i="36" s="1"/>
  <c r="H140" i="36" s="1"/>
  <c r="I140" i="36" s="1"/>
  <c r="J140" i="36" s="1"/>
  <c r="K140" i="36" s="1"/>
  <c r="L140" i="36" s="1"/>
  <c r="M140" i="36" s="1"/>
  <c r="N140" i="36" s="1"/>
  <c r="O140" i="36" s="1"/>
  <c r="F139" i="36"/>
  <c r="G139" i="36" s="1"/>
  <c r="H139" i="36" s="1"/>
  <c r="I139" i="36" s="1"/>
  <c r="J139" i="36" s="1"/>
  <c r="K139" i="36" s="1"/>
  <c r="L139" i="36" s="1"/>
  <c r="M139" i="36" s="1"/>
  <c r="N139" i="36" s="1"/>
  <c r="O139" i="36" s="1"/>
  <c r="F138" i="36"/>
  <c r="G138" i="36" s="1"/>
  <c r="H138" i="36" s="1"/>
  <c r="I138" i="36" s="1"/>
  <c r="J138" i="36" s="1"/>
  <c r="K138" i="36" s="1"/>
  <c r="L138" i="36" s="1"/>
  <c r="M138" i="36" s="1"/>
  <c r="N138" i="36" s="1"/>
  <c r="O138" i="36" s="1"/>
  <c r="F137" i="36"/>
  <c r="G137" i="36" s="1"/>
  <c r="H137" i="36" s="1"/>
  <c r="I137" i="36" s="1"/>
  <c r="J137" i="36" s="1"/>
  <c r="K137" i="36" s="1"/>
  <c r="L137" i="36" s="1"/>
  <c r="M137" i="36" s="1"/>
  <c r="N137" i="36" s="1"/>
  <c r="O137" i="36" s="1"/>
  <c r="F136" i="36"/>
  <c r="G136" i="36" s="1"/>
  <c r="H136" i="36" s="1"/>
  <c r="I136" i="36" s="1"/>
  <c r="J136" i="36" s="1"/>
  <c r="K136" i="36" s="1"/>
  <c r="L136" i="36" s="1"/>
  <c r="M136" i="36" s="1"/>
  <c r="N136" i="36" s="1"/>
  <c r="O136" i="36" s="1"/>
  <c r="F135" i="36"/>
  <c r="G135" i="36" s="1"/>
  <c r="H135" i="36" s="1"/>
  <c r="I135" i="36" s="1"/>
  <c r="J135" i="36" s="1"/>
  <c r="K135" i="36" s="1"/>
  <c r="L135" i="36" s="1"/>
  <c r="M135" i="36" s="1"/>
  <c r="N135" i="36" s="1"/>
  <c r="O135" i="36" s="1"/>
  <c r="F134" i="36"/>
  <c r="G134" i="36" s="1"/>
  <c r="H134" i="36" s="1"/>
  <c r="I134" i="36" s="1"/>
  <c r="J134" i="36" s="1"/>
  <c r="K134" i="36" s="1"/>
  <c r="L134" i="36" s="1"/>
  <c r="M134" i="36" s="1"/>
  <c r="N134" i="36" s="1"/>
  <c r="O134" i="36" s="1"/>
  <c r="F133" i="36"/>
  <c r="G133" i="36" s="1"/>
  <c r="H133" i="36" s="1"/>
  <c r="I133" i="36" s="1"/>
  <c r="J133" i="36" s="1"/>
  <c r="K133" i="36" s="1"/>
  <c r="L133" i="36" s="1"/>
  <c r="M133" i="36" s="1"/>
  <c r="N133" i="36" s="1"/>
  <c r="O133" i="36" s="1"/>
  <c r="F132" i="36"/>
  <c r="G132" i="36" s="1"/>
  <c r="H132" i="36" s="1"/>
  <c r="I132" i="36" s="1"/>
  <c r="J132" i="36" s="1"/>
  <c r="K132" i="36" s="1"/>
  <c r="L132" i="36" s="1"/>
  <c r="M132" i="36" s="1"/>
  <c r="N132" i="36" s="1"/>
  <c r="O132" i="36" s="1"/>
  <c r="F131" i="36"/>
  <c r="G131" i="36" s="1"/>
  <c r="H131" i="36" s="1"/>
  <c r="I131" i="36" s="1"/>
  <c r="J131" i="36" s="1"/>
  <c r="K131" i="36" s="1"/>
  <c r="L131" i="36" s="1"/>
  <c r="M131" i="36" s="1"/>
  <c r="N131" i="36" s="1"/>
  <c r="O131" i="36" s="1"/>
  <c r="F130" i="36"/>
  <c r="G130" i="36" s="1"/>
  <c r="H130" i="36" s="1"/>
  <c r="I130" i="36" s="1"/>
  <c r="J130" i="36" s="1"/>
  <c r="K130" i="36" s="1"/>
  <c r="L130" i="36" s="1"/>
  <c r="M130" i="36" s="1"/>
  <c r="N130" i="36" s="1"/>
  <c r="O130" i="36" s="1"/>
  <c r="F129" i="36"/>
  <c r="D61" i="36"/>
  <c r="D58" i="36"/>
  <c r="G141" i="36" l="1"/>
  <c r="H141" i="36" s="1"/>
  <c r="I141" i="36" s="1"/>
  <c r="J141" i="36" s="1"/>
  <c r="K141" i="36" s="1"/>
  <c r="L141" i="36" s="1"/>
  <c r="M141" i="36" s="1"/>
  <c r="N141" i="36" s="1"/>
  <c r="O141" i="36" s="1"/>
  <c r="F157" i="36"/>
  <c r="EJ44" i="27"/>
  <c r="CR44" i="27"/>
  <c r="F40" i="48" l="1"/>
  <c r="B213" i="12" l="1"/>
  <c r="B135" i="12"/>
  <c r="B134" i="12"/>
  <c r="B133" i="12"/>
  <c r="B132" i="12"/>
  <c r="B129" i="12"/>
  <c r="B69" i="12"/>
  <c r="B52" i="12"/>
  <c r="B96" i="12"/>
  <c r="B116" i="12"/>
  <c r="D49" i="43"/>
  <c r="D48" i="43"/>
  <c r="D47" i="43"/>
  <c r="D46" i="43"/>
  <c r="D44" i="43"/>
  <c r="D43" i="43"/>
  <c r="D41" i="43"/>
  <c r="D40" i="43"/>
  <c r="D38" i="43"/>
  <c r="D37" i="43"/>
  <c r="D36" i="43"/>
  <c r="D35" i="43"/>
  <c r="D34" i="43"/>
  <c r="D33" i="43"/>
  <c r="D32" i="43"/>
  <c r="D30" i="43"/>
  <c r="D29" i="43"/>
  <c r="C49" i="43"/>
  <c r="B49" i="43"/>
  <c r="C48" i="43"/>
  <c r="B48" i="43"/>
  <c r="C47" i="43"/>
  <c r="B47" i="43"/>
  <c r="C46" i="43"/>
  <c r="B46" i="43"/>
  <c r="C45" i="43"/>
  <c r="B45" i="43"/>
  <c r="C44" i="43"/>
  <c r="B44" i="43"/>
  <c r="C43" i="43"/>
  <c r="B43" i="43"/>
  <c r="C42" i="43"/>
  <c r="B42" i="43"/>
  <c r="C41" i="43"/>
  <c r="B41" i="43"/>
  <c r="C40" i="43"/>
  <c r="B40" i="43"/>
  <c r="C39" i="43"/>
  <c r="B39" i="43"/>
  <c r="C38" i="43"/>
  <c r="B38" i="43"/>
  <c r="C37" i="43"/>
  <c r="B37" i="43"/>
  <c r="C36" i="43"/>
  <c r="B36" i="43"/>
  <c r="C35" i="43"/>
  <c r="B35" i="43"/>
  <c r="C34" i="43"/>
  <c r="B34" i="43"/>
  <c r="C33" i="43"/>
  <c r="B33" i="43"/>
  <c r="C32" i="43"/>
  <c r="B32" i="43"/>
  <c r="C31" i="43"/>
  <c r="B31" i="43"/>
  <c r="C30" i="43"/>
  <c r="B30" i="43"/>
  <c r="C29" i="43"/>
  <c r="B29" i="43"/>
  <c r="D26" i="43"/>
  <c r="D25" i="43"/>
  <c r="D24" i="43"/>
  <c r="D23" i="43"/>
  <c r="D21" i="43"/>
  <c r="D20" i="43"/>
  <c r="D18" i="43"/>
  <c r="D17" i="43"/>
  <c r="D15" i="43"/>
  <c r="D14" i="43"/>
  <c r="D13" i="43"/>
  <c r="D12" i="43"/>
  <c r="D11" i="43"/>
  <c r="D10" i="43"/>
  <c r="D9" i="43"/>
  <c r="D7" i="43"/>
  <c r="D6" i="43"/>
  <c r="E3" i="43"/>
  <c r="F3" i="43" s="1"/>
  <c r="G3" i="43" s="1"/>
  <c r="H3" i="43" s="1"/>
  <c r="I3" i="43" s="1"/>
  <c r="J3" i="43" s="1"/>
  <c r="K3" i="43" s="1"/>
  <c r="L3" i="43" s="1"/>
  <c r="M3" i="43" s="1"/>
  <c r="D42" i="43"/>
  <c r="G52" i="43" l="1"/>
  <c r="G58" i="43" s="1"/>
  <c r="J52" i="43"/>
  <c r="E52" i="43"/>
  <c r="F52" i="43"/>
  <c r="F58" i="43" s="1"/>
  <c r="H52" i="43"/>
  <c r="D19" i="43"/>
  <c r="D8" i="43"/>
  <c r="D39" i="43"/>
  <c r="D16" i="43"/>
  <c r="D45" i="43"/>
  <c r="D22" i="43"/>
  <c r="E58" i="43" l="1"/>
  <c r="H58" i="43"/>
  <c r="D61" i="43"/>
  <c r="E61" i="43"/>
  <c r="E64" i="43" s="1"/>
  <c r="D31" i="43"/>
  <c r="D52" i="43" s="1"/>
  <c r="I52" i="43"/>
  <c r="C134" i="12" l="1"/>
  <c r="C168" i="12" s="1"/>
  <c r="C197" i="12" s="1"/>
  <c r="I58" i="43"/>
  <c r="F61" i="43"/>
  <c r="F64" i="43" s="1"/>
  <c r="J58" i="43"/>
  <c r="C248" i="12" l="1"/>
  <c r="C147" i="12"/>
  <c r="G61" i="43"/>
  <c r="G64" i="43" s="1"/>
  <c r="K52" i="43"/>
  <c r="D55" i="43"/>
  <c r="B268" i="12"/>
  <c r="CW60" i="1"/>
  <c r="K58" i="43" l="1"/>
  <c r="H61" i="43"/>
  <c r="H64" i="43" s="1"/>
  <c r="D58" i="43"/>
  <c r="D64" i="43" s="1"/>
  <c r="L52" i="43"/>
  <c r="M52" i="43"/>
  <c r="L58" i="43" l="1"/>
  <c r="M58" i="43"/>
  <c r="I61" i="43"/>
  <c r="I64" i="43" s="1"/>
  <c r="J61" i="43" l="1"/>
  <c r="J64" i="43" s="1"/>
  <c r="K61" i="43" l="1"/>
  <c r="K64" i="43" s="1"/>
  <c r="L61" i="43" l="1"/>
  <c r="L64" i="43" s="1"/>
  <c r="M61" i="43"/>
  <c r="M64" i="43" s="1"/>
  <c r="B85" i="12" l="1"/>
  <c r="B84" i="12"/>
  <c r="B58" i="12"/>
  <c r="B59" i="12"/>
  <c r="P5" i="1"/>
  <c r="P17" i="1" l="1"/>
  <c r="P19" i="1"/>
  <c r="P13" i="1"/>
  <c r="P9" i="1"/>
  <c r="P10" i="1" s="1"/>
  <c r="P18" i="1" s="1"/>
  <c r="P11" i="1"/>
  <c r="D37" i="48"/>
  <c r="D36" i="48"/>
  <c r="AK38" i="1"/>
  <c r="AV38" i="1"/>
  <c r="O38" i="1"/>
  <c r="D38" i="1"/>
  <c r="D49" i="1" s="1"/>
  <c r="Q5" i="1"/>
  <c r="Q17" i="1" l="1"/>
  <c r="Q19" i="1"/>
  <c r="O48" i="1"/>
  <c r="O49" i="1"/>
  <c r="AV48" i="1"/>
  <c r="AV49" i="1"/>
  <c r="AK49" i="1"/>
  <c r="AK48" i="1"/>
  <c r="P15" i="1"/>
  <c r="P14" i="1"/>
  <c r="Q9" i="1"/>
  <c r="Q10" i="1" s="1"/>
  <c r="Q18" i="1" s="1"/>
  <c r="Q13" i="1"/>
  <c r="Q11" i="1"/>
  <c r="D41" i="48"/>
  <c r="D48" i="1"/>
  <c r="P38" i="1"/>
  <c r="C10" i="12" s="1"/>
  <c r="Z38" i="1"/>
  <c r="R5" i="1"/>
  <c r="O42" i="1"/>
  <c r="O52" i="1" l="1"/>
  <c r="R17" i="1"/>
  <c r="R19" i="1"/>
  <c r="P48" i="1"/>
  <c r="P49" i="1"/>
  <c r="Z48" i="1"/>
  <c r="Q15" i="1"/>
  <c r="Q14" i="1"/>
  <c r="R9" i="1"/>
  <c r="R10" i="1" s="1"/>
  <c r="R18" i="1" s="1"/>
  <c r="R11" i="1"/>
  <c r="R13" i="1"/>
  <c r="Q38" i="1"/>
  <c r="O61" i="1"/>
  <c r="S5" i="1"/>
  <c r="O45" i="1"/>
  <c r="O51" i="1"/>
  <c r="CV60" i="1"/>
  <c r="CU60" i="1"/>
  <c r="CT60" i="1"/>
  <c r="CS60" i="1"/>
  <c r="S17" i="1" l="1"/>
  <c r="S19" i="1"/>
  <c r="R14" i="1"/>
  <c r="R15" i="1"/>
  <c r="Q48" i="1"/>
  <c r="Q49" i="1"/>
  <c r="S13" i="1"/>
  <c r="S11" i="1"/>
  <c r="S9" i="1"/>
  <c r="S10" i="1" s="1"/>
  <c r="S18" i="1" s="1"/>
  <c r="O46" i="1"/>
  <c r="T5" i="1"/>
  <c r="O53" i="1"/>
  <c r="T17" i="1" l="1"/>
  <c r="T19" i="1"/>
  <c r="S14" i="1"/>
  <c r="S15" i="1"/>
  <c r="T11" i="1"/>
  <c r="T13" i="1"/>
  <c r="T9" i="1"/>
  <c r="T10" i="1" s="1"/>
  <c r="T18" i="1" s="1"/>
  <c r="U5" i="1"/>
  <c r="U17" i="1" l="1"/>
  <c r="U19" i="1"/>
  <c r="T14" i="1"/>
  <c r="T15" i="1"/>
  <c r="U11" i="1"/>
  <c r="U9" i="1"/>
  <c r="U10" i="1" s="1"/>
  <c r="U18" i="1" s="1"/>
  <c r="U13" i="1"/>
  <c r="V5" i="1"/>
  <c r="V17" i="1" l="1"/>
  <c r="V19" i="1"/>
  <c r="U14" i="1"/>
  <c r="U15" i="1"/>
  <c r="V11" i="1"/>
  <c r="V13" i="1"/>
  <c r="V9" i="1"/>
  <c r="V10" i="1" s="1"/>
  <c r="V18" i="1" s="1"/>
  <c r="W5" i="1"/>
  <c r="W17" i="1" l="1"/>
  <c r="W19" i="1"/>
  <c r="V14" i="1"/>
  <c r="V15" i="1"/>
  <c r="W13" i="1"/>
  <c r="W9" i="1"/>
  <c r="W10" i="1" s="1"/>
  <c r="W18" i="1" s="1"/>
  <c r="W11" i="1"/>
  <c r="X5" i="1"/>
  <c r="D3" i="30"/>
  <c r="E3" i="30" s="1"/>
  <c r="F3" i="30" s="1"/>
  <c r="G3" i="30" s="1"/>
  <c r="H3" i="30" s="1"/>
  <c r="I3" i="30" s="1"/>
  <c r="J3" i="30" s="1"/>
  <c r="K3" i="30" s="1"/>
  <c r="D3" i="9"/>
  <c r="FR5" i="34"/>
  <c r="FS5" i="34" s="1"/>
  <c r="FT5" i="34" s="1"/>
  <c r="FU5" i="34" s="1"/>
  <c r="FV5" i="34" s="1"/>
  <c r="FW5" i="34" s="1"/>
  <c r="FX5" i="34" s="1"/>
  <c r="FY5" i="34" s="1"/>
  <c r="FZ5" i="34" s="1"/>
  <c r="FG5" i="34"/>
  <c r="FH5" i="34" s="1"/>
  <c r="FI5" i="34" s="1"/>
  <c r="FJ5" i="34" s="1"/>
  <c r="FK5" i="34" s="1"/>
  <c r="FL5" i="34" s="1"/>
  <c r="FM5" i="34" s="1"/>
  <c r="FN5" i="34" s="1"/>
  <c r="FO5" i="34" s="1"/>
  <c r="EW5" i="34"/>
  <c r="EX5" i="34" s="1"/>
  <c r="EY5" i="34" s="1"/>
  <c r="EZ5" i="34" s="1"/>
  <c r="FA5" i="34" s="1"/>
  <c r="FB5" i="34" s="1"/>
  <c r="FC5" i="34" s="1"/>
  <c r="FD5" i="34" s="1"/>
  <c r="EM5" i="34"/>
  <c r="EN5" i="34" s="1"/>
  <c r="EO5" i="34" s="1"/>
  <c r="EP5" i="34" s="1"/>
  <c r="EQ5" i="34" s="1"/>
  <c r="ER5" i="34" s="1"/>
  <c r="ES5" i="34" s="1"/>
  <c r="ET5" i="34" s="1"/>
  <c r="EB5" i="34"/>
  <c r="EC5" i="34" s="1"/>
  <c r="ED5" i="34" s="1"/>
  <c r="EE5" i="34" s="1"/>
  <c r="EF5" i="34" s="1"/>
  <c r="EG5" i="34" s="1"/>
  <c r="EH5" i="34" s="1"/>
  <c r="EI5" i="34" s="1"/>
  <c r="EJ5" i="34" s="1"/>
  <c r="DQ5" i="34"/>
  <c r="DR5" i="34" s="1"/>
  <c r="DS5" i="34" s="1"/>
  <c r="DT5" i="34" s="1"/>
  <c r="DU5" i="34" s="1"/>
  <c r="DV5" i="34" s="1"/>
  <c r="DW5" i="34" s="1"/>
  <c r="DX5" i="34" s="1"/>
  <c r="DY5" i="34" s="1"/>
  <c r="DF5" i="34"/>
  <c r="DG5" i="34" s="1"/>
  <c r="DH5" i="34" s="1"/>
  <c r="DI5" i="34" s="1"/>
  <c r="DJ5" i="34" s="1"/>
  <c r="DK5" i="34" s="1"/>
  <c r="DL5" i="34" s="1"/>
  <c r="DM5" i="34" s="1"/>
  <c r="DN5" i="34" s="1"/>
  <c r="CU5" i="34"/>
  <c r="CV5" i="34" s="1"/>
  <c r="CW5" i="34" s="1"/>
  <c r="CX5" i="34" s="1"/>
  <c r="CY5" i="34" s="1"/>
  <c r="CZ5" i="34" s="1"/>
  <c r="DA5" i="34" s="1"/>
  <c r="DB5" i="34" s="1"/>
  <c r="DC5" i="34" s="1"/>
  <c r="CJ5" i="34"/>
  <c r="CK5" i="34" s="1"/>
  <c r="CL5" i="34" s="1"/>
  <c r="CM5" i="34" s="1"/>
  <c r="CN5" i="34" s="1"/>
  <c r="CO5" i="34" s="1"/>
  <c r="CP5" i="34" s="1"/>
  <c r="CQ5" i="34" s="1"/>
  <c r="CR5" i="34" s="1"/>
  <c r="BY5" i="34"/>
  <c r="BZ5" i="34" s="1"/>
  <c r="CA5" i="34" s="1"/>
  <c r="CB5" i="34" s="1"/>
  <c r="CC5" i="34" s="1"/>
  <c r="CD5" i="34" s="1"/>
  <c r="CE5" i="34" s="1"/>
  <c r="CF5" i="34" s="1"/>
  <c r="CG5" i="34" s="1"/>
  <c r="BN5" i="34"/>
  <c r="BO5" i="34" s="1"/>
  <c r="BP5" i="34" s="1"/>
  <c r="BQ5" i="34" s="1"/>
  <c r="BR5" i="34" s="1"/>
  <c r="BS5" i="34" s="1"/>
  <c r="BT5" i="34" s="1"/>
  <c r="BU5" i="34" s="1"/>
  <c r="BV5" i="34" s="1"/>
  <c r="BC5" i="34"/>
  <c r="BD5" i="34" s="1"/>
  <c r="BE5" i="34" s="1"/>
  <c r="BF5" i="34" s="1"/>
  <c r="BG5" i="34" s="1"/>
  <c r="BH5" i="34" s="1"/>
  <c r="BI5" i="34" s="1"/>
  <c r="BJ5" i="34" s="1"/>
  <c r="BK5" i="34" s="1"/>
  <c r="AR5" i="34"/>
  <c r="AS5" i="34" s="1"/>
  <c r="AT5" i="34" s="1"/>
  <c r="AU5" i="34" s="1"/>
  <c r="AV5" i="34" s="1"/>
  <c r="AW5" i="34" s="1"/>
  <c r="AX5" i="34" s="1"/>
  <c r="AY5" i="34" s="1"/>
  <c r="AZ5" i="34" s="1"/>
  <c r="AG5" i="34"/>
  <c r="AH5" i="34" s="1"/>
  <c r="AI5" i="34" s="1"/>
  <c r="AJ5" i="34" s="1"/>
  <c r="AK5" i="34" s="1"/>
  <c r="AL5" i="34" s="1"/>
  <c r="AM5" i="34" s="1"/>
  <c r="AN5" i="34" s="1"/>
  <c r="AO5" i="34" s="1"/>
  <c r="V5" i="34"/>
  <c r="W5" i="34" s="1"/>
  <c r="X5" i="34" s="1"/>
  <c r="Y5" i="34" s="1"/>
  <c r="Z5" i="34" s="1"/>
  <c r="AA5" i="34" s="1"/>
  <c r="AB5" i="34" s="1"/>
  <c r="AC5" i="34" s="1"/>
  <c r="AD5" i="34" s="1"/>
  <c r="K5" i="34"/>
  <c r="L5" i="34" s="1"/>
  <c r="M5" i="34" s="1"/>
  <c r="N5" i="34" s="1"/>
  <c r="O5" i="34" s="1"/>
  <c r="P5" i="34" s="1"/>
  <c r="Q5" i="34" s="1"/>
  <c r="R5" i="34" s="1"/>
  <c r="S5" i="34" s="1"/>
  <c r="E3" i="17"/>
  <c r="F3" i="17" s="1"/>
  <c r="G3" i="17" s="1"/>
  <c r="H3" i="17" s="1"/>
  <c r="I3" i="17" s="1"/>
  <c r="J3" i="17" s="1"/>
  <c r="K3" i="17" s="1"/>
  <c r="L3" i="17" s="1"/>
  <c r="M3" i="17" s="1"/>
  <c r="FT5" i="27"/>
  <c r="FU5" i="27" s="1"/>
  <c r="FV5" i="27" s="1"/>
  <c r="FW5" i="27" s="1"/>
  <c r="FX5" i="27" s="1"/>
  <c r="FY5" i="27" s="1"/>
  <c r="FZ5" i="27" s="1"/>
  <c r="GA5" i="27" s="1"/>
  <c r="GB5" i="27" s="1"/>
  <c r="FI5" i="27"/>
  <c r="FJ5" i="27" s="1"/>
  <c r="FK5" i="27" s="1"/>
  <c r="FL5" i="27" s="1"/>
  <c r="FM5" i="27" s="1"/>
  <c r="FN5" i="27" s="1"/>
  <c r="FO5" i="27" s="1"/>
  <c r="FP5" i="27" s="1"/>
  <c r="EX5" i="27"/>
  <c r="EY5" i="27" s="1"/>
  <c r="EZ5" i="27" s="1"/>
  <c r="FA5" i="27" s="1"/>
  <c r="FB5" i="27" s="1"/>
  <c r="FC5" i="27" s="1"/>
  <c r="FD5" i="27" s="1"/>
  <c r="FE5" i="27" s="1"/>
  <c r="EM5" i="27"/>
  <c r="EN5" i="27" s="1"/>
  <c r="EO5" i="27" s="1"/>
  <c r="EP5" i="27" s="1"/>
  <c r="EQ5" i="27" s="1"/>
  <c r="ER5" i="27" s="1"/>
  <c r="ES5" i="27" s="1"/>
  <c r="ET5" i="27" s="1"/>
  <c r="EB5" i="27"/>
  <c r="EC5" i="27" s="1"/>
  <c r="ED5" i="27" s="1"/>
  <c r="EE5" i="27" s="1"/>
  <c r="EF5" i="27" s="1"/>
  <c r="EG5" i="27" s="1"/>
  <c r="EH5" i="27" s="1"/>
  <c r="EI5" i="27" s="1"/>
  <c r="DQ5" i="27"/>
  <c r="DR5" i="27" s="1"/>
  <c r="DS5" i="27" s="1"/>
  <c r="DT5" i="27" s="1"/>
  <c r="DU5" i="27" s="1"/>
  <c r="DV5" i="27" s="1"/>
  <c r="DW5" i="27" s="1"/>
  <c r="DX5" i="27" s="1"/>
  <c r="DF5" i="27"/>
  <c r="DG5" i="27" s="1"/>
  <c r="DH5" i="27" s="1"/>
  <c r="DI5" i="27" s="1"/>
  <c r="DJ5" i="27" s="1"/>
  <c r="DK5" i="27" s="1"/>
  <c r="DL5" i="27" s="1"/>
  <c r="DM5" i="27" s="1"/>
  <c r="CU5" i="27"/>
  <c r="CV5" i="27" s="1"/>
  <c r="CW5" i="27" s="1"/>
  <c r="CX5" i="27" s="1"/>
  <c r="CY5" i="27" s="1"/>
  <c r="CZ5" i="27" s="1"/>
  <c r="DA5" i="27" s="1"/>
  <c r="DB5" i="27" s="1"/>
  <c r="CJ5" i="27"/>
  <c r="CK5" i="27" s="1"/>
  <c r="CL5" i="27" s="1"/>
  <c r="CM5" i="27" s="1"/>
  <c r="CN5" i="27" s="1"/>
  <c r="CO5" i="27" s="1"/>
  <c r="CP5" i="27" s="1"/>
  <c r="CQ5" i="27" s="1"/>
  <c r="CR5" i="27" s="1"/>
  <c r="BY5" i="27"/>
  <c r="BZ5" i="27" s="1"/>
  <c r="CA5" i="27" s="1"/>
  <c r="CB5" i="27" s="1"/>
  <c r="CC5" i="27" s="1"/>
  <c r="CD5" i="27" s="1"/>
  <c r="CE5" i="27" s="1"/>
  <c r="CF5" i="27" s="1"/>
  <c r="BN5" i="27"/>
  <c r="BO5" i="27" s="1"/>
  <c r="BP5" i="27" s="1"/>
  <c r="BQ5" i="27" s="1"/>
  <c r="BR5" i="27" s="1"/>
  <c r="BS5" i="27" s="1"/>
  <c r="BT5" i="27" s="1"/>
  <c r="BU5" i="27" s="1"/>
  <c r="BV5" i="27" s="1"/>
  <c r="BC5" i="27"/>
  <c r="BD5" i="27" s="1"/>
  <c r="BE5" i="27" s="1"/>
  <c r="BF5" i="27" s="1"/>
  <c r="BG5" i="27" s="1"/>
  <c r="BH5" i="27" s="1"/>
  <c r="BI5" i="27" s="1"/>
  <c r="BJ5" i="27" s="1"/>
  <c r="AR5" i="27"/>
  <c r="AS5" i="27" s="1"/>
  <c r="AT5" i="27" s="1"/>
  <c r="AU5" i="27" s="1"/>
  <c r="AV5" i="27" s="1"/>
  <c r="AW5" i="27" s="1"/>
  <c r="AX5" i="27" s="1"/>
  <c r="AY5" i="27" s="1"/>
  <c r="AG5" i="27"/>
  <c r="AH5" i="27" s="1"/>
  <c r="AI5" i="27" s="1"/>
  <c r="AJ5" i="27" s="1"/>
  <c r="AK5" i="27" s="1"/>
  <c r="AL5" i="27" s="1"/>
  <c r="AM5" i="27" s="1"/>
  <c r="AN5" i="27" s="1"/>
  <c r="V5" i="27"/>
  <c r="W5" i="27" s="1"/>
  <c r="X5" i="27" s="1"/>
  <c r="Y5" i="27" s="1"/>
  <c r="Z5" i="27" s="1"/>
  <c r="AA5" i="27" s="1"/>
  <c r="AB5" i="27" s="1"/>
  <c r="AC5" i="27" s="1"/>
  <c r="K5" i="27"/>
  <c r="L5" i="27" s="1"/>
  <c r="M5" i="27" s="1"/>
  <c r="N5" i="27" s="1"/>
  <c r="O5" i="27" s="1"/>
  <c r="P5" i="27" s="1"/>
  <c r="Q5" i="27" s="1"/>
  <c r="R5" i="27" s="1"/>
  <c r="D3" i="7"/>
  <c r="E3" i="7" s="1"/>
  <c r="F3" i="7" s="1"/>
  <c r="G3" i="7" s="1"/>
  <c r="H3" i="7" s="1"/>
  <c r="I3" i="7" s="1"/>
  <c r="J3" i="7" s="1"/>
  <c r="K3" i="7" s="1"/>
  <c r="L3" i="7" s="1"/>
  <c r="CO5" i="1"/>
  <c r="CD5" i="1"/>
  <c r="BH5" i="1"/>
  <c r="AW5" i="1"/>
  <c r="AL5" i="1"/>
  <c r="AA5" i="1"/>
  <c r="E5" i="1"/>
  <c r="F24" i="35"/>
  <c r="G24" i="35" s="1"/>
  <c r="H24" i="35" s="1"/>
  <c r="I24" i="35" s="1"/>
  <c r="J24" i="35" s="1"/>
  <c r="K24" i="35" s="1"/>
  <c r="L24" i="35" s="1"/>
  <c r="M24" i="35" s="1"/>
  <c r="N24" i="35" s="1"/>
  <c r="F21" i="35"/>
  <c r="G21" i="35" s="1"/>
  <c r="H21" i="35" s="1"/>
  <c r="I21" i="35" s="1"/>
  <c r="J21" i="35" s="1"/>
  <c r="K21" i="35" s="1"/>
  <c r="L21" i="35" s="1"/>
  <c r="M21" i="35" s="1"/>
  <c r="N21" i="35" s="1"/>
  <c r="F19" i="35"/>
  <c r="G19" i="35" s="1"/>
  <c r="H19" i="35" s="1"/>
  <c r="I19" i="35" s="1"/>
  <c r="J19" i="35" s="1"/>
  <c r="K19" i="35" s="1"/>
  <c r="L19" i="35" s="1"/>
  <c r="M19" i="35" s="1"/>
  <c r="N19" i="35" s="1"/>
  <c r="F18" i="35"/>
  <c r="G18" i="35" s="1"/>
  <c r="H18" i="35" s="1"/>
  <c r="I18" i="35" s="1"/>
  <c r="J18" i="35" s="1"/>
  <c r="K18" i="35" s="1"/>
  <c r="L18" i="35" s="1"/>
  <c r="M18" i="35" s="1"/>
  <c r="N18" i="35" s="1"/>
  <c r="F35" i="35"/>
  <c r="G35" i="35" s="1"/>
  <c r="H35" i="35" s="1"/>
  <c r="I35" i="35" s="1"/>
  <c r="J35" i="35" s="1"/>
  <c r="K35" i="35" s="1"/>
  <c r="L35" i="35" s="1"/>
  <c r="M35" i="35" s="1"/>
  <c r="N35" i="35" s="1"/>
  <c r="N25" i="36"/>
  <c r="M25" i="36"/>
  <c r="L25" i="36"/>
  <c r="K25" i="36"/>
  <c r="J25" i="36"/>
  <c r="I25" i="36"/>
  <c r="H25" i="36"/>
  <c r="G25" i="36"/>
  <c r="F25" i="36"/>
  <c r="E25" i="36"/>
  <c r="G61" i="36"/>
  <c r="H61" i="36" s="1"/>
  <c r="I61" i="36" s="1"/>
  <c r="J61" i="36" s="1"/>
  <c r="K61" i="36" s="1"/>
  <c r="L61" i="36" s="1"/>
  <c r="M61" i="36" s="1"/>
  <c r="N61" i="36" s="1"/>
  <c r="O61" i="36" s="1"/>
  <c r="G57" i="36"/>
  <c r="H57" i="36" s="1"/>
  <c r="I57" i="36" s="1"/>
  <c r="J57" i="36" s="1"/>
  <c r="K57" i="36" s="1"/>
  <c r="L57" i="36" s="1"/>
  <c r="M57" i="36" s="1"/>
  <c r="N57" i="36" s="1"/>
  <c r="O57" i="36" s="1"/>
  <c r="G54" i="36"/>
  <c r="G51" i="36"/>
  <c r="H51" i="36" s="1"/>
  <c r="I51" i="36" s="1"/>
  <c r="J51" i="36" s="1"/>
  <c r="K51" i="36" s="1"/>
  <c r="L51" i="36" s="1"/>
  <c r="M51" i="36" s="1"/>
  <c r="N51" i="36" s="1"/>
  <c r="O51" i="36" s="1"/>
  <c r="G49" i="36"/>
  <c r="G48" i="36"/>
  <c r="F42" i="35"/>
  <c r="G42" i="35" s="1"/>
  <c r="H42" i="35" s="1"/>
  <c r="I42" i="35" s="1"/>
  <c r="J42" i="35" s="1"/>
  <c r="K42" i="35" s="1"/>
  <c r="L42" i="35" s="1"/>
  <c r="M42" i="35" s="1"/>
  <c r="N42" i="35" s="1"/>
  <c r="F47" i="35"/>
  <c r="G47" i="35" s="1"/>
  <c r="H47" i="35" s="1"/>
  <c r="I47" i="35" s="1"/>
  <c r="J47" i="35" s="1"/>
  <c r="K47" i="35" s="1"/>
  <c r="L47" i="35" s="1"/>
  <c r="M47" i="35" s="1"/>
  <c r="N47" i="35" s="1"/>
  <c r="F46" i="35"/>
  <c r="G46" i="35" s="1"/>
  <c r="H46" i="35" s="1"/>
  <c r="I46" i="35" s="1"/>
  <c r="J46" i="35" s="1"/>
  <c r="K46" i="35" s="1"/>
  <c r="L46" i="35" s="1"/>
  <c r="M46" i="35" s="1"/>
  <c r="N46" i="35" s="1"/>
  <c r="F52" i="35"/>
  <c r="G52" i="35" s="1"/>
  <c r="H52" i="35" s="1"/>
  <c r="I52" i="35" s="1"/>
  <c r="J52" i="35" s="1"/>
  <c r="K52" i="35" s="1"/>
  <c r="L52" i="35" s="1"/>
  <c r="M52" i="35" s="1"/>
  <c r="N52" i="35" s="1"/>
  <c r="F12" i="35"/>
  <c r="G12" i="35" s="1"/>
  <c r="H12" i="35" s="1"/>
  <c r="I12" i="35" s="1"/>
  <c r="J12" i="35" s="1"/>
  <c r="K12" i="35" s="1"/>
  <c r="L12" i="35" s="1"/>
  <c r="M12" i="35" s="1"/>
  <c r="N12" i="35" s="1"/>
  <c r="F11" i="35"/>
  <c r="G11" i="35" s="1"/>
  <c r="Q90" i="36"/>
  <c r="Q89" i="36"/>
  <c r="Q88" i="36"/>
  <c r="Q87" i="36"/>
  <c r="Q86" i="36"/>
  <c r="Q85" i="36"/>
  <c r="Q84" i="36"/>
  <c r="Q83" i="36"/>
  <c r="Q82" i="36"/>
  <c r="Q81" i="36"/>
  <c r="Q80" i="36"/>
  <c r="Q79" i="36"/>
  <c r="Q78" i="36"/>
  <c r="F128" i="36"/>
  <c r="D109" i="36"/>
  <c r="D125" i="36" s="1"/>
  <c r="D108" i="36"/>
  <c r="D124" i="36" s="1"/>
  <c r="D107" i="36"/>
  <c r="D123" i="36" s="1"/>
  <c r="D106" i="36"/>
  <c r="D122" i="36" s="1"/>
  <c r="D105" i="36"/>
  <c r="D121" i="36" s="1"/>
  <c r="D104" i="36"/>
  <c r="D120" i="36" s="1"/>
  <c r="D103" i="36"/>
  <c r="D119" i="36" s="1"/>
  <c r="D118" i="36"/>
  <c r="D101" i="36"/>
  <c r="D117" i="36" s="1"/>
  <c r="D100" i="36"/>
  <c r="D116" i="36" s="1"/>
  <c r="D99" i="36"/>
  <c r="D115" i="36" s="1"/>
  <c r="D98" i="36"/>
  <c r="D114" i="36" s="1"/>
  <c r="D97" i="36"/>
  <c r="D113" i="36" s="1"/>
  <c r="D96" i="36"/>
  <c r="D112" i="36" s="1"/>
  <c r="E193" i="36"/>
  <c r="E176" i="36"/>
  <c r="E158" i="36"/>
  <c r="D141" i="36"/>
  <c r="D140" i="36"/>
  <c r="D139" i="36"/>
  <c r="D155" i="36" s="1"/>
  <c r="D138" i="36"/>
  <c r="D154" i="36" s="1"/>
  <c r="O154" i="36" s="1"/>
  <c r="O189" i="36" s="1"/>
  <c r="D137" i="36"/>
  <c r="D153" i="36" s="1"/>
  <c r="O153" i="36" s="1"/>
  <c r="D136" i="36"/>
  <c r="D152" i="36" s="1"/>
  <c r="O152" i="36" s="1"/>
  <c r="O187" i="36" s="1"/>
  <c r="D135" i="36"/>
  <c r="D151" i="36" s="1"/>
  <c r="D134" i="36"/>
  <c r="D150" i="36" s="1"/>
  <c r="D133" i="36"/>
  <c r="D149" i="36" s="1"/>
  <c r="D132" i="36"/>
  <c r="D148" i="36" s="1"/>
  <c r="D131" i="36"/>
  <c r="D147" i="36" s="1"/>
  <c r="D130" i="36"/>
  <c r="D146" i="36" s="1"/>
  <c r="D129" i="36"/>
  <c r="D145" i="36" s="1"/>
  <c r="D128" i="36"/>
  <c r="D144" i="36" s="1"/>
  <c r="N92" i="36"/>
  <c r="M92" i="36"/>
  <c r="L92" i="36"/>
  <c r="K92" i="36"/>
  <c r="J92" i="36"/>
  <c r="I92" i="36"/>
  <c r="H92" i="36"/>
  <c r="G92" i="36"/>
  <c r="F92" i="36"/>
  <c r="E92" i="36"/>
  <c r="E63" i="36"/>
  <c r="D57" i="36"/>
  <c r="D56" i="36"/>
  <c r="D55" i="36"/>
  <c r="D54" i="36"/>
  <c r="D53" i="36"/>
  <c r="D52" i="36"/>
  <c r="D51" i="36"/>
  <c r="D50" i="36"/>
  <c r="D49" i="36"/>
  <c r="D48" i="36"/>
  <c r="D47" i="36"/>
  <c r="F44" i="36"/>
  <c r="E44" i="36"/>
  <c r="G5" i="36"/>
  <c r="E5" i="36"/>
  <c r="E72" i="36" s="1"/>
  <c r="F5" i="35"/>
  <c r="G5" i="35" s="1"/>
  <c r="H5" i="35" s="1"/>
  <c r="I5" i="35" s="1"/>
  <c r="J5" i="35" s="1"/>
  <c r="K5" i="35" s="1"/>
  <c r="L5" i="35" s="1"/>
  <c r="M5" i="35" s="1"/>
  <c r="N5" i="35" s="1"/>
  <c r="O146" i="36" l="1"/>
  <c r="O181" i="36" s="1"/>
  <c r="O147" i="36"/>
  <c r="O182" i="36" s="1"/>
  <c r="G75" i="36"/>
  <c r="G58" i="36"/>
  <c r="G213" i="36"/>
  <c r="G214" i="36"/>
  <c r="G216" i="36"/>
  <c r="G217" i="36"/>
  <c r="G128" i="36"/>
  <c r="G129" i="36"/>
  <c r="G200" i="36"/>
  <c r="G209" i="36"/>
  <c r="G197" i="36"/>
  <c r="G199" i="36"/>
  <c r="G37" i="36"/>
  <c r="F23" i="35" s="1"/>
  <c r="G55" i="36"/>
  <c r="G205" i="36"/>
  <c r="G206" i="36"/>
  <c r="G56" i="36"/>
  <c r="G208" i="36"/>
  <c r="G196" i="36"/>
  <c r="G36" i="36"/>
  <c r="F31" i="35"/>
  <c r="G31" i="35" s="1"/>
  <c r="H31" i="35" s="1"/>
  <c r="I31" i="35" s="1"/>
  <c r="J31" i="35" s="1"/>
  <c r="K31" i="35" s="1"/>
  <c r="L31" i="35" s="1"/>
  <c r="M31" i="35" s="1"/>
  <c r="D156" i="36"/>
  <c r="G156" i="36" s="1"/>
  <c r="G191" i="36" s="1"/>
  <c r="O157" i="36"/>
  <c r="O192" i="36" s="1"/>
  <c r="E17" i="1"/>
  <c r="E57" i="1"/>
  <c r="E19" i="1"/>
  <c r="E60" i="1"/>
  <c r="E56" i="1"/>
  <c r="AL17" i="1"/>
  <c r="AL19" i="1"/>
  <c r="X17" i="1"/>
  <c r="X19" i="1"/>
  <c r="AA17" i="1"/>
  <c r="AA19" i="1"/>
  <c r="AW17" i="1"/>
  <c r="AW19" i="1"/>
  <c r="O155" i="36"/>
  <c r="BH67" i="1"/>
  <c r="BH68" i="1"/>
  <c r="CD69" i="1"/>
  <c r="CD70" i="1"/>
  <c r="E15" i="1"/>
  <c r="DJ25" i="27"/>
  <c r="EF25" i="27" s="1"/>
  <c r="FX25" i="27" s="1"/>
  <c r="DK25" i="27"/>
  <c r="EG25" i="27" s="1"/>
  <c r="FY25" i="27" s="1"/>
  <c r="DL25" i="27"/>
  <c r="EH25" i="27" s="1"/>
  <c r="FZ25" i="27" s="1"/>
  <c r="DM25" i="27"/>
  <c r="EI25" i="27" s="1"/>
  <c r="GA25" i="27" s="1"/>
  <c r="DJ23" i="27"/>
  <c r="EF23" i="27" s="1"/>
  <c r="FX23" i="27" s="1"/>
  <c r="DM24" i="27"/>
  <c r="EI24" i="27" s="1"/>
  <c r="GA24" i="27" s="1"/>
  <c r="DK23" i="27"/>
  <c r="EG23" i="27" s="1"/>
  <c r="FY23" i="27" s="1"/>
  <c r="DL23" i="27"/>
  <c r="EH23" i="27" s="1"/>
  <c r="FZ23" i="27" s="1"/>
  <c r="DM23" i="27"/>
  <c r="EI23" i="27" s="1"/>
  <c r="GA23" i="27" s="1"/>
  <c r="DJ24" i="27"/>
  <c r="EF24" i="27" s="1"/>
  <c r="FX24" i="27" s="1"/>
  <c r="DK24" i="27"/>
  <c r="EG24" i="27" s="1"/>
  <c r="FY24" i="27" s="1"/>
  <c r="DL24" i="27"/>
  <c r="EH24" i="27" s="1"/>
  <c r="FZ24" i="27" s="1"/>
  <c r="DM20" i="27"/>
  <c r="EI20" i="27" s="1"/>
  <c r="DJ11" i="27"/>
  <c r="EF11" i="27" s="1"/>
  <c r="DJ14" i="27"/>
  <c r="EF14" i="27" s="1"/>
  <c r="DJ17" i="27"/>
  <c r="EF17" i="27" s="1"/>
  <c r="DJ21" i="27"/>
  <c r="EF21" i="27" s="1"/>
  <c r="DM13" i="27"/>
  <c r="EI13" i="27" s="1"/>
  <c r="DK11" i="27"/>
  <c r="EG11" i="27" s="1"/>
  <c r="DK14" i="27"/>
  <c r="EG14" i="27" s="1"/>
  <c r="DK17" i="27"/>
  <c r="EG17" i="27" s="1"/>
  <c r="DK21" i="27"/>
  <c r="EG21" i="27" s="1"/>
  <c r="DL11" i="27"/>
  <c r="EH11" i="27" s="1"/>
  <c r="DL14" i="27"/>
  <c r="EH14" i="27" s="1"/>
  <c r="DL17" i="27"/>
  <c r="EH17" i="27" s="1"/>
  <c r="DL21" i="27"/>
  <c r="EH21" i="27" s="1"/>
  <c r="DM11" i="27"/>
  <c r="EI11" i="27" s="1"/>
  <c r="DM14" i="27"/>
  <c r="EI14" i="27" s="1"/>
  <c r="DM17" i="27"/>
  <c r="EI17" i="27" s="1"/>
  <c r="DM21" i="27"/>
  <c r="EI21" i="27" s="1"/>
  <c r="DJ12" i="27"/>
  <c r="EF12" i="27" s="1"/>
  <c r="DJ15" i="27"/>
  <c r="EF15" i="27" s="1"/>
  <c r="DJ18" i="27"/>
  <c r="EF18" i="27" s="1"/>
  <c r="DK12" i="27"/>
  <c r="EG12" i="27" s="1"/>
  <c r="DK15" i="27"/>
  <c r="EG15" i="27" s="1"/>
  <c r="DK18" i="27"/>
  <c r="EG18" i="27" s="1"/>
  <c r="DL12" i="27"/>
  <c r="EH12" i="27" s="1"/>
  <c r="DL15" i="27"/>
  <c r="EH15" i="27" s="1"/>
  <c r="DL18" i="27"/>
  <c r="EH18" i="27" s="1"/>
  <c r="DM12" i="27"/>
  <c r="EI12" i="27" s="1"/>
  <c r="DM15" i="27"/>
  <c r="EI15" i="27" s="1"/>
  <c r="DM18" i="27"/>
  <c r="EI18" i="27" s="1"/>
  <c r="DJ8" i="27"/>
  <c r="EF8" i="27" s="1"/>
  <c r="DJ13" i="27"/>
  <c r="EF13" i="27" s="1"/>
  <c r="DJ16" i="27"/>
  <c r="EF16" i="27" s="1"/>
  <c r="DJ20" i="27"/>
  <c r="EF20" i="27" s="1"/>
  <c r="DM8" i="27"/>
  <c r="EI8" i="27" s="1"/>
  <c r="DK8" i="27"/>
  <c r="EG8" i="27"/>
  <c r="DK13" i="27"/>
  <c r="EG13" i="27" s="1"/>
  <c r="DK16" i="27"/>
  <c r="EG16" i="27" s="1"/>
  <c r="DK20" i="27"/>
  <c r="EG20" i="27" s="1"/>
  <c r="DM16" i="27"/>
  <c r="EI16" i="27" s="1"/>
  <c r="DL8" i="27"/>
  <c r="EH8" i="27" s="1"/>
  <c r="DL13" i="27"/>
  <c r="EH13" i="27" s="1"/>
  <c r="DL16" i="27"/>
  <c r="EH16" i="27" s="1"/>
  <c r="DL20" i="27"/>
  <c r="EH20" i="27" s="1"/>
  <c r="H49" i="36"/>
  <c r="E3" i="9"/>
  <c r="D21" i="9"/>
  <c r="C76" i="12" s="1"/>
  <c r="D17" i="9"/>
  <c r="D13" i="9"/>
  <c r="C47" i="12" s="1"/>
  <c r="D19" i="9"/>
  <c r="C74" i="12" s="1"/>
  <c r="D7" i="9"/>
  <c r="C40" i="12" s="1"/>
  <c r="D24" i="9"/>
  <c r="C79" i="12" s="1"/>
  <c r="D23" i="9"/>
  <c r="C78" i="12" s="1"/>
  <c r="D6" i="9"/>
  <c r="D11" i="9"/>
  <c r="C45" i="12" s="1"/>
  <c r="D18" i="9"/>
  <c r="C72" i="12" s="1"/>
  <c r="D22" i="9"/>
  <c r="C77" i="12" s="1"/>
  <c r="D10" i="9"/>
  <c r="D20" i="9"/>
  <c r="C75" i="12" s="1"/>
  <c r="D12" i="9"/>
  <c r="C46" i="12" s="1"/>
  <c r="D8" i="9"/>
  <c r="C71" i="12"/>
  <c r="D9" i="9"/>
  <c r="CQ44" i="27"/>
  <c r="CO44" i="27"/>
  <c r="CE5" i="1"/>
  <c r="CD13" i="1"/>
  <c r="CD14" i="1"/>
  <c r="CD48" i="1" s="1"/>
  <c r="CD15" i="1"/>
  <c r="CD49" i="1" s="1"/>
  <c r="W15" i="1"/>
  <c r="W14" i="1"/>
  <c r="CP5" i="1"/>
  <c r="CO15" i="1"/>
  <c r="CO49" i="1" s="1"/>
  <c r="CO13" i="1"/>
  <c r="CO14" i="1"/>
  <c r="CO48" i="1" s="1"/>
  <c r="E11" i="1"/>
  <c r="E13" i="1"/>
  <c r="E9" i="1"/>
  <c r="E10" i="1" s="1"/>
  <c r="E18" i="1" s="1"/>
  <c r="AA11" i="1"/>
  <c r="AA13" i="1"/>
  <c r="AA14" i="1"/>
  <c r="AA15" i="1"/>
  <c r="AA10" i="1"/>
  <c r="AA18" i="1" s="1"/>
  <c r="AA9" i="1"/>
  <c r="AL9" i="1"/>
  <c r="AL10" i="1"/>
  <c r="AL18" i="1" s="1"/>
  <c r="AL11" i="1"/>
  <c r="AW10" i="1"/>
  <c r="AW18" i="1" s="1"/>
  <c r="AW11" i="1"/>
  <c r="BI5" i="1"/>
  <c r="BH14" i="1"/>
  <c r="BH48" i="1" s="1"/>
  <c r="BH15" i="1"/>
  <c r="BH49" i="1" s="1"/>
  <c r="BH13" i="1"/>
  <c r="X11" i="1"/>
  <c r="X13" i="1"/>
  <c r="X9" i="1"/>
  <c r="X10" i="1" s="1"/>
  <c r="X18" i="1" s="1"/>
  <c r="O151" i="36"/>
  <c r="O186" i="36" s="1"/>
  <c r="F26" i="35"/>
  <c r="D5" i="12"/>
  <c r="D185" i="12" s="1"/>
  <c r="O148" i="36"/>
  <c r="O149" i="36"/>
  <c r="O184" i="36" s="1"/>
  <c r="BS44" i="34"/>
  <c r="BT44" i="34"/>
  <c r="BU44" i="34"/>
  <c r="BR44" i="34"/>
  <c r="O150" i="36"/>
  <c r="K152" i="36"/>
  <c r="H152" i="36"/>
  <c r="H187" i="36" s="1"/>
  <c r="G152" i="36"/>
  <c r="G187" i="36" s="1"/>
  <c r="N152" i="36"/>
  <c r="J152" i="36"/>
  <c r="I152" i="36"/>
  <c r="I187" i="36" s="1"/>
  <c r="F152" i="36"/>
  <c r="F187" i="36" s="1"/>
  <c r="M152" i="36"/>
  <c r="L152" i="36"/>
  <c r="I154" i="36"/>
  <c r="I189" i="36" s="1"/>
  <c r="N154" i="36"/>
  <c r="N189" i="36" s="1"/>
  <c r="L154" i="36"/>
  <c r="L189" i="36" s="1"/>
  <c r="H154" i="36"/>
  <c r="F154" i="36"/>
  <c r="F189" i="36" s="1"/>
  <c r="M154" i="36"/>
  <c r="M189" i="36" s="1"/>
  <c r="G154" i="36"/>
  <c r="G189" i="36" s="1"/>
  <c r="K154" i="36"/>
  <c r="K189" i="36" s="1"/>
  <c r="J154" i="36"/>
  <c r="J189" i="36" s="1"/>
  <c r="N147" i="36"/>
  <c r="N182" i="36" s="1"/>
  <c r="F147" i="36"/>
  <c r="F182" i="36" s="1"/>
  <c r="K147" i="36"/>
  <c r="M147" i="36"/>
  <c r="M182" i="36" s="1"/>
  <c r="J147" i="36"/>
  <c r="L147" i="36"/>
  <c r="I147" i="36"/>
  <c r="H147" i="36"/>
  <c r="G147" i="36"/>
  <c r="G182" i="36" s="1"/>
  <c r="H155" i="36"/>
  <c r="H190" i="36" s="1"/>
  <c r="L155" i="36"/>
  <c r="G155" i="36"/>
  <c r="G190" i="36" s="1"/>
  <c r="M155" i="36"/>
  <c r="J155" i="36"/>
  <c r="N155" i="36"/>
  <c r="F155" i="36"/>
  <c r="F190" i="36" s="1"/>
  <c r="K155" i="36"/>
  <c r="I155" i="36"/>
  <c r="I190" i="36" s="1"/>
  <c r="G50" i="36"/>
  <c r="M156" i="36"/>
  <c r="M191" i="36" s="1"/>
  <c r="H156" i="36"/>
  <c r="H191" i="36" s="1"/>
  <c r="N157" i="36"/>
  <c r="N192" i="36" s="1"/>
  <c r="F192" i="36"/>
  <c r="M157" i="36"/>
  <c r="M192" i="36" s="1"/>
  <c r="K192" i="36"/>
  <c r="L157" i="36"/>
  <c r="L192" i="36" s="1"/>
  <c r="G52" i="36"/>
  <c r="J153" i="36"/>
  <c r="J188" i="36" s="1"/>
  <c r="G153" i="36"/>
  <c r="G188" i="36" s="1"/>
  <c r="N153" i="36"/>
  <c r="L153" i="36"/>
  <c r="I153" i="36"/>
  <c r="I188" i="36" s="1"/>
  <c r="F153" i="36"/>
  <c r="F188" i="36" s="1"/>
  <c r="H153" i="36"/>
  <c r="H188" i="36" s="1"/>
  <c r="M153" i="36"/>
  <c r="K153" i="36"/>
  <c r="M150" i="36"/>
  <c r="J150" i="36"/>
  <c r="I150" i="36"/>
  <c r="H150" i="36"/>
  <c r="H185" i="36" s="1"/>
  <c r="L150" i="36"/>
  <c r="G150" i="36"/>
  <c r="G185" i="36" s="1"/>
  <c r="K150" i="36"/>
  <c r="F150" i="36"/>
  <c r="F185" i="36" s="1"/>
  <c r="N150" i="36"/>
  <c r="D162" i="36"/>
  <c r="F144" i="36"/>
  <c r="F179" i="36" s="1"/>
  <c r="H5" i="36"/>
  <c r="L151" i="36"/>
  <c r="I151" i="36"/>
  <c r="N151" i="36"/>
  <c r="N186" i="36" s="1"/>
  <c r="K151" i="36"/>
  <c r="H151" i="36"/>
  <c r="G151" i="36"/>
  <c r="G186" i="36" s="1"/>
  <c r="J151" i="36"/>
  <c r="F151" i="36"/>
  <c r="F186" i="36" s="1"/>
  <c r="M151" i="36"/>
  <c r="J149" i="36"/>
  <c r="I149" i="36"/>
  <c r="F149" i="36"/>
  <c r="F184" i="36" s="1"/>
  <c r="M149" i="36"/>
  <c r="L149" i="36"/>
  <c r="K149" i="36"/>
  <c r="H149" i="36"/>
  <c r="G149" i="36"/>
  <c r="N149" i="36"/>
  <c r="F148" i="36"/>
  <c r="F183" i="36" s="1"/>
  <c r="M148" i="36"/>
  <c r="L148" i="36"/>
  <c r="K148" i="36"/>
  <c r="J148" i="36"/>
  <c r="H148" i="36"/>
  <c r="I148" i="36"/>
  <c r="N148" i="36"/>
  <c r="G148" i="36"/>
  <c r="J146" i="36"/>
  <c r="F146" i="36"/>
  <c r="F181" i="36" s="1"/>
  <c r="K146" i="36"/>
  <c r="H146" i="36"/>
  <c r="G146" i="36"/>
  <c r="N146" i="36"/>
  <c r="N181" i="36" s="1"/>
  <c r="L146" i="36"/>
  <c r="L181" i="36" s="1"/>
  <c r="M146" i="36"/>
  <c r="M181" i="36" s="1"/>
  <c r="I146" i="36"/>
  <c r="F145" i="36"/>
  <c r="F180" i="36" s="1"/>
  <c r="H54" i="36"/>
  <c r="H48" i="36"/>
  <c r="CP44" i="27"/>
  <c r="CN44" i="27"/>
  <c r="DJ27" i="27"/>
  <c r="EF27" i="27" s="1"/>
  <c r="FX27" i="27" s="1"/>
  <c r="DJ29" i="27"/>
  <c r="EF29" i="27" s="1"/>
  <c r="FX29" i="27" s="1"/>
  <c r="DJ31" i="27"/>
  <c r="EF31" i="27" s="1"/>
  <c r="FX31" i="27" s="1"/>
  <c r="DJ33" i="27"/>
  <c r="EF33" i="27" s="1"/>
  <c r="FX33" i="27" s="1"/>
  <c r="DJ35" i="27"/>
  <c r="EF35" i="27" s="1"/>
  <c r="FX35" i="27" s="1"/>
  <c r="DJ37" i="27"/>
  <c r="EF37" i="27" s="1"/>
  <c r="FX37" i="27" s="1"/>
  <c r="DJ39" i="27"/>
  <c r="EF39" i="27" s="1"/>
  <c r="FX39" i="27" s="1"/>
  <c r="DJ41" i="27"/>
  <c r="EF41" i="27" s="1"/>
  <c r="FX41" i="27" s="1"/>
  <c r="DJ43" i="27"/>
  <c r="EF43" i="27" s="1"/>
  <c r="FX43" i="27" s="1"/>
  <c r="DK27" i="27"/>
  <c r="EG27" i="27" s="1"/>
  <c r="FY27" i="27" s="1"/>
  <c r="DK29" i="27"/>
  <c r="EG29" i="27" s="1"/>
  <c r="FY29" i="27" s="1"/>
  <c r="DK31" i="27"/>
  <c r="EG31" i="27" s="1"/>
  <c r="FY31" i="27" s="1"/>
  <c r="DK33" i="27"/>
  <c r="EG33" i="27" s="1"/>
  <c r="FY33" i="27" s="1"/>
  <c r="DK35" i="27"/>
  <c r="EG35" i="27" s="1"/>
  <c r="FY35" i="27" s="1"/>
  <c r="DK37" i="27"/>
  <c r="EG37" i="27" s="1"/>
  <c r="FY37" i="27" s="1"/>
  <c r="DK39" i="27"/>
  <c r="EG39" i="27" s="1"/>
  <c r="FY39" i="27" s="1"/>
  <c r="DK41" i="27"/>
  <c r="EG41" i="27" s="1"/>
  <c r="FY41" i="27" s="1"/>
  <c r="DK43" i="27"/>
  <c r="EG43" i="27" s="1"/>
  <c r="FY43" i="27" s="1"/>
  <c r="DL27" i="27"/>
  <c r="EH27" i="27" s="1"/>
  <c r="FZ27" i="27" s="1"/>
  <c r="DL29" i="27"/>
  <c r="EH29" i="27" s="1"/>
  <c r="FZ29" i="27" s="1"/>
  <c r="DL31" i="27"/>
  <c r="EH31" i="27" s="1"/>
  <c r="FZ31" i="27" s="1"/>
  <c r="DL33" i="27"/>
  <c r="EH33" i="27" s="1"/>
  <c r="FZ33" i="27" s="1"/>
  <c r="DL35" i="27"/>
  <c r="EH35" i="27" s="1"/>
  <c r="FZ35" i="27" s="1"/>
  <c r="DL37" i="27"/>
  <c r="EH37" i="27" s="1"/>
  <c r="FZ37" i="27" s="1"/>
  <c r="DL39" i="27"/>
  <c r="EH39" i="27" s="1"/>
  <c r="FZ39" i="27" s="1"/>
  <c r="DL41" i="27"/>
  <c r="EH41" i="27" s="1"/>
  <c r="FZ41" i="27" s="1"/>
  <c r="DL43" i="27"/>
  <c r="EH43" i="27" s="1"/>
  <c r="FZ43" i="27" s="1"/>
  <c r="DM27" i="27"/>
  <c r="EI27" i="27" s="1"/>
  <c r="GA27" i="27" s="1"/>
  <c r="DM29" i="27"/>
  <c r="EI29" i="27" s="1"/>
  <c r="GA29" i="27" s="1"/>
  <c r="DM31" i="27"/>
  <c r="EI31" i="27" s="1"/>
  <c r="GA31" i="27" s="1"/>
  <c r="DM33" i="27"/>
  <c r="EI33" i="27" s="1"/>
  <c r="GA33" i="27" s="1"/>
  <c r="DM35" i="27"/>
  <c r="EI35" i="27" s="1"/>
  <c r="GA35" i="27" s="1"/>
  <c r="DM37" i="27"/>
  <c r="EI37" i="27" s="1"/>
  <c r="GA37" i="27" s="1"/>
  <c r="DM39" i="27"/>
  <c r="EI39" i="27" s="1"/>
  <c r="GA39" i="27" s="1"/>
  <c r="DM41" i="27"/>
  <c r="EI41" i="27" s="1"/>
  <c r="GA41" i="27" s="1"/>
  <c r="DM43" i="27"/>
  <c r="EI43" i="27" s="1"/>
  <c r="GA43" i="27" s="1"/>
  <c r="DJ26" i="27"/>
  <c r="EF26" i="27" s="1"/>
  <c r="FX26" i="27" s="1"/>
  <c r="DJ28" i="27"/>
  <c r="EF28" i="27" s="1"/>
  <c r="FX28" i="27" s="1"/>
  <c r="DJ30" i="27"/>
  <c r="EF30" i="27" s="1"/>
  <c r="FX30" i="27" s="1"/>
  <c r="DJ32" i="27"/>
  <c r="EF32" i="27" s="1"/>
  <c r="FX32" i="27" s="1"/>
  <c r="DJ34" i="27"/>
  <c r="EF34" i="27" s="1"/>
  <c r="FX34" i="27" s="1"/>
  <c r="DJ36" i="27"/>
  <c r="EF36" i="27" s="1"/>
  <c r="FX36" i="27" s="1"/>
  <c r="DJ38" i="27"/>
  <c r="EF38" i="27" s="1"/>
  <c r="FX38" i="27" s="1"/>
  <c r="DJ40" i="27"/>
  <c r="EF40" i="27" s="1"/>
  <c r="FX40" i="27" s="1"/>
  <c r="DJ42" i="27"/>
  <c r="EF42" i="27" s="1"/>
  <c r="FX42" i="27" s="1"/>
  <c r="DK26" i="27"/>
  <c r="EG26" i="27" s="1"/>
  <c r="FY26" i="27" s="1"/>
  <c r="DK28" i="27"/>
  <c r="EG28" i="27" s="1"/>
  <c r="FY28" i="27" s="1"/>
  <c r="DK30" i="27"/>
  <c r="EG30" i="27" s="1"/>
  <c r="FY30" i="27" s="1"/>
  <c r="DK32" i="27"/>
  <c r="EG32" i="27" s="1"/>
  <c r="FY32" i="27" s="1"/>
  <c r="DK34" i="27"/>
  <c r="EG34" i="27" s="1"/>
  <c r="FY34" i="27" s="1"/>
  <c r="DK36" i="27"/>
  <c r="EG36" i="27" s="1"/>
  <c r="FY36" i="27" s="1"/>
  <c r="DK38" i="27"/>
  <c r="EG38" i="27" s="1"/>
  <c r="FY38" i="27" s="1"/>
  <c r="DK40" i="27"/>
  <c r="EG40" i="27" s="1"/>
  <c r="FY40" i="27" s="1"/>
  <c r="DK42" i="27"/>
  <c r="EG42" i="27" s="1"/>
  <c r="FY42" i="27" s="1"/>
  <c r="DL26" i="27"/>
  <c r="EH26" i="27" s="1"/>
  <c r="FZ26" i="27" s="1"/>
  <c r="DL28" i="27"/>
  <c r="EH28" i="27" s="1"/>
  <c r="FZ28" i="27" s="1"/>
  <c r="DL30" i="27"/>
  <c r="EH30" i="27" s="1"/>
  <c r="FZ30" i="27" s="1"/>
  <c r="DL32" i="27"/>
  <c r="EH32" i="27" s="1"/>
  <c r="FZ32" i="27" s="1"/>
  <c r="DL34" i="27"/>
  <c r="EH34" i="27" s="1"/>
  <c r="FZ34" i="27" s="1"/>
  <c r="DL36" i="27"/>
  <c r="EH36" i="27" s="1"/>
  <c r="FZ36" i="27" s="1"/>
  <c r="DL38" i="27"/>
  <c r="EH38" i="27" s="1"/>
  <c r="FZ38" i="27" s="1"/>
  <c r="DL40" i="27"/>
  <c r="EH40" i="27" s="1"/>
  <c r="FZ40" i="27" s="1"/>
  <c r="DL42" i="27"/>
  <c r="EH42" i="27" s="1"/>
  <c r="FZ42" i="27" s="1"/>
  <c r="DM26" i="27"/>
  <c r="EI26" i="27" s="1"/>
  <c r="GA26" i="27" s="1"/>
  <c r="DM28" i="27"/>
  <c r="EI28" i="27" s="1"/>
  <c r="GA28" i="27" s="1"/>
  <c r="DM30" i="27"/>
  <c r="EI30" i="27" s="1"/>
  <c r="GA30" i="27" s="1"/>
  <c r="DM32" i="27"/>
  <c r="EI32" i="27" s="1"/>
  <c r="GA32" i="27" s="1"/>
  <c r="DM34" i="27"/>
  <c r="EI34" i="27" s="1"/>
  <c r="GA34" i="27" s="1"/>
  <c r="DM36" i="27"/>
  <c r="EI36" i="27" s="1"/>
  <c r="GA36" i="27" s="1"/>
  <c r="DM38" i="27"/>
  <c r="EI38" i="27" s="1"/>
  <c r="GA38" i="27" s="1"/>
  <c r="DM40" i="27"/>
  <c r="EI40" i="27" s="1"/>
  <c r="GA40" i="27" s="1"/>
  <c r="DM42" i="27"/>
  <c r="EI42" i="27" s="1"/>
  <c r="GA42" i="27" s="1"/>
  <c r="E3" i="28"/>
  <c r="E19" i="28" s="1"/>
  <c r="AM5" i="1"/>
  <c r="AX5" i="1"/>
  <c r="F5" i="1"/>
  <c r="AB5" i="1"/>
  <c r="E33" i="35"/>
  <c r="F32" i="35"/>
  <c r="G32" i="35" s="1"/>
  <c r="H32" i="35" s="1"/>
  <c r="I32" i="35" s="1"/>
  <c r="J32" i="35" s="1"/>
  <c r="K32" i="35" s="1"/>
  <c r="L32" i="35" s="1"/>
  <c r="M32" i="35" s="1"/>
  <c r="N32" i="35" s="1"/>
  <c r="G47" i="36"/>
  <c r="F16" i="35"/>
  <c r="H11" i="35"/>
  <c r="I11" i="35" s="1"/>
  <c r="D163" i="36"/>
  <c r="D164" i="36"/>
  <c r="D168" i="36"/>
  <c r="O168" i="36" s="1"/>
  <c r="D172" i="36"/>
  <c r="O172" i="36" s="1"/>
  <c r="H189" i="36"/>
  <c r="D170" i="36"/>
  <c r="O170" i="36" s="1"/>
  <c r="D169" i="36"/>
  <c r="O169" i="36" s="1"/>
  <c r="D171" i="36"/>
  <c r="O171" i="36" s="1"/>
  <c r="G192" i="36"/>
  <c r="H192" i="36"/>
  <c r="D165" i="36"/>
  <c r="O165" i="36" s="1"/>
  <c r="D173" i="36"/>
  <c r="O173" i="36" s="1"/>
  <c r="D166" i="36"/>
  <c r="I166" i="36" s="1"/>
  <c r="H186" i="36"/>
  <c r="J192" i="36"/>
  <c r="D167" i="36"/>
  <c r="O167" i="36" s="1"/>
  <c r="D175" i="36"/>
  <c r="O175" i="36" s="1"/>
  <c r="C158" i="12" l="1"/>
  <c r="H213" i="36"/>
  <c r="H217" i="36"/>
  <c r="H58" i="36"/>
  <c r="H214" i="36"/>
  <c r="H216" i="36"/>
  <c r="H75" i="36"/>
  <c r="H200" i="36"/>
  <c r="H55" i="36"/>
  <c r="H199" i="36"/>
  <c r="H37" i="36"/>
  <c r="H205" i="36"/>
  <c r="H56" i="36"/>
  <c r="H208" i="36"/>
  <c r="H196" i="36"/>
  <c r="H206" i="36"/>
  <c r="H36" i="36"/>
  <c r="H209" i="36"/>
  <c r="H197" i="36"/>
  <c r="K156" i="36"/>
  <c r="K191" i="36" s="1"/>
  <c r="F156" i="36"/>
  <c r="F191" i="36" s="1"/>
  <c r="F193" i="36" s="1"/>
  <c r="H129" i="36"/>
  <c r="H163" i="36" s="1"/>
  <c r="H128" i="36"/>
  <c r="H162" i="36" s="1"/>
  <c r="J156" i="36"/>
  <c r="J191" i="36" s="1"/>
  <c r="G144" i="36"/>
  <c r="I192" i="36"/>
  <c r="O156" i="36"/>
  <c r="O191" i="36" s="1"/>
  <c r="N156" i="36"/>
  <c r="N191" i="36" s="1"/>
  <c r="I156" i="36"/>
  <c r="I191" i="36" s="1"/>
  <c r="D174" i="36"/>
  <c r="O174" i="36" s="1"/>
  <c r="L156" i="36"/>
  <c r="L191" i="36" s="1"/>
  <c r="G145" i="36"/>
  <c r="G158" i="36" s="1"/>
  <c r="G234" i="36" s="1"/>
  <c r="G215" i="36"/>
  <c r="AB17" i="1"/>
  <c r="AB19" i="1"/>
  <c r="F15" i="1"/>
  <c r="F17" i="1"/>
  <c r="F57" i="1"/>
  <c r="F19" i="1"/>
  <c r="F60" i="1"/>
  <c r="F56" i="1"/>
  <c r="AX17" i="1"/>
  <c r="AX19" i="1"/>
  <c r="E58" i="1"/>
  <c r="P56" i="1"/>
  <c r="AW56" i="1"/>
  <c r="AL56" i="1"/>
  <c r="AM17" i="1"/>
  <c r="AM19" i="1"/>
  <c r="P60" i="1"/>
  <c r="AW60" i="1"/>
  <c r="AL60" i="1"/>
  <c r="P57" i="1"/>
  <c r="AL57" i="1"/>
  <c r="AW57" i="1"/>
  <c r="D189" i="12"/>
  <c r="H182" i="36"/>
  <c r="FY16" i="27"/>
  <c r="I31" i="7"/>
  <c r="GA11" i="27"/>
  <c r="K26" i="7"/>
  <c r="FX11" i="27"/>
  <c r="H26" i="7"/>
  <c r="GA8" i="27"/>
  <c r="K23" i="7"/>
  <c r="FY15" i="27"/>
  <c r="I30" i="7"/>
  <c r="FZ11" i="27"/>
  <c r="J26" i="7"/>
  <c r="FZ21" i="27"/>
  <c r="J36" i="7"/>
  <c r="FX20" i="27"/>
  <c r="H35" i="7"/>
  <c r="FY21" i="27"/>
  <c r="I36" i="7"/>
  <c r="FY20" i="27"/>
  <c r="I35" i="7"/>
  <c r="FZ15" i="27"/>
  <c r="J30" i="7"/>
  <c r="GA20" i="27"/>
  <c r="K35" i="7"/>
  <c r="FZ20" i="27"/>
  <c r="J35" i="7"/>
  <c r="FX16" i="27"/>
  <c r="H31" i="7"/>
  <c r="FZ16" i="27"/>
  <c r="J31" i="7"/>
  <c r="FX15" i="27"/>
  <c r="H30" i="7"/>
  <c r="FX8" i="27"/>
  <c r="H23" i="7"/>
  <c r="FY11" i="27"/>
  <c r="I26" i="7"/>
  <c r="FY8" i="27"/>
  <c r="I23" i="7"/>
  <c r="FZ8" i="27"/>
  <c r="J23" i="7"/>
  <c r="GA21" i="27"/>
  <c r="K36" i="7"/>
  <c r="GA16" i="27"/>
  <c r="K31" i="7"/>
  <c r="GA15" i="27"/>
  <c r="K30" i="7"/>
  <c r="FX21" i="27"/>
  <c r="H36" i="7"/>
  <c r="GA12" i="27"/>
  <c r="K27" i="7"/>
  <c r="FY12" i="27"/>
  <c r="I27" i="7"/>
  <c r="FZ12" i="27"/>
  <c r="J27" i="7"/>
  <c r="FX12" i="27"/>
  <c r="H27" i="7"/>
  <c r="FZ17" i="27"/>
  <c r="J32" i="7"/>
  <c r="FY17" i="27"/>
  <c r="I32" i="7"/>
  <c r="FX17" i="27"/>
  <c r="H32" i="7"/>
  <c r="GA17" i="27"/>
  <c r="K32" i="7"/>
  <c r="FZ18" i="27"/>
  <c r="J33" i="7"/>
  <c r="FY18" i="27"/>
  <c r="I33" i="7"/>
  <c r="FX18" i="27"/>
  <c r="H33" i="7"/>
  <c r="GA18" i="27"/>
  <c r="K33" i="7"/>
  <c r="FY13" i="27"/>
  <c r="I28" i="7"/>
  <c r="FX14" i="27"/>
  <c r="H29" i="7"/>
  <c r="FZ14" i="27"/>
  <c r="J29" i="7"/>
  <c r="FX13" i="27"/>
  <c r="H28" i="7"/>
  <c r="FY14" i="27"/>
  <c r="I29" i="7"/>
  <c r="FZ13" i="27"/>
  <c r="J28" i="7"/>
  <c r="GA14" i="27"/>
  <c r="K29" i="7"/>
  <c r="GA13" i="27"/>
  <c r="K28" i="7"/>
  <c r="AA44" i="1"/>
  <c r="K190" i="36"/>
  <c r="J190" i="36"/>
  <c r="M190" i="36"/>
  <c r="L190" i="36"/>
  <c r="N190" i="36"/>
  <c r="O190" i="36"/>
  <c r="D36" i="12"/>
  <c r="D68" i="12"/>
  <c r="E44" i="1"/>
  <c r="BI68" i="1"/>
  <c r="BI67" i="1"/>
  <c r="CE69" i="1"/>
  <c r="CE70" i="1"/>
  <c r="D10" i="12"/>
  <c r="D233" i="12"/>
  <c r="D206" i="12" s="1"/>
  <c r="D73" i="12"/>
  <c r="D41" i="12"/>
  <c r="I49" i="36"/>
  <c r="I182" i="36"/>
  <c r="L182" i="36"/>
  <c r="K182" i="36"/>
  <c r="J182" i="36"/>
  <c r="L184" i="36"/>
  <c r="M184" i="36"/>
  <c r="N184" i="36"/>
  <c r="E36" i="48"/>
  <c r="E14" i="1"/>
  <c r="D124" i="12"/>
  <c r="D123" i="12"/>
  <c r="D116" i="12"/>
  <c r="D134" i="12" s="1"/>
  <c r="D168" i="12" s="1"/>
  <c r="D197" i="12" s="1"/>
  <c r="D114" i="12"/>
  <c r="D115" i="12"/>
  <c r="D119" i="12"/>
  <c r="D120" i="12"/>
  <c r="D121" i="12"/>
  <c r="E93" i="28"/>
  <c r="D38" i="9"/>
  <c r="D28" i="9" s="1"/>
  <c r="D40" i="9"/>
  <c r="D30" i="9" s="1"/>
  <c r="D42" i="9"/>
  <c r="D32" i="9" s="1"/>
  <c r="E38" i="28"/>
  <c r="E41" i="28" s="1"/>
  <c r="E23" i="28"/>
  <c r="C44" i="12"/>
  <c r="C103" i="12" s="1"/>
  <c r="D39" i="9"/>
  <c r="D29" i="9" s="1"/>
  <c r="C99" i="12"/>
  <c r="C42" i="12"/>
  <c r="C101" i="12" s="1"/>
  <c r="D41" i="9"/>
  <c r="D31" i="9" s="1"/>
  <c r="C39" i="12"/>
  <c r="C98" i="12" s="1"/>
  <c r="C105" i="12"/>
  <c r="D44" i="9"/>
  <c r="D34" i="9" s="1"/>
  <c r="C70" i="12"/>
  <c r="C106" i="12"/>
  <c r="D45" i="9"/>
  <c r="D35" i="9" s="1"/>
  <c r="C104" i="12"/>
  <c r="D25" i="9"/>
  <c r="C43" i="12"/>
  <c r="C102" i="12" s="1"/>
  <c r="D43" i="9"/>
  <c r="D33" i="9" s="1"/>
  <c r="F3" i="9"/>
  <c r="E19" i="9"/>
  <c r="D74" i="12" s="1"/>
  <c r="E7" i="9"/>
  <c r="D40" i="12" s="1"/>
  <c r="E6" i="9"/>
  <c r="D39" i="12" s="1"/>
  <c r="E11" i="9"/>
  <c r="E43" i="9" s="1"/>
  <c r="E33" i="9" s="1"/>
  <c r="E18" i="9"/>
  <c r="E10" i="9"/>
  <c r="E20" i="9"/>
  <c r="D75" i="12" s="1"/>
  <c r="E12" i="9"/>
  <c r="E44" i="9" s="1"/>
  <c r="E34" i="9" s="1"/>
  <c r="E8" i="9"/>
  <c r="E21" i="9"/>
  <c r="D76" i="12" s="1"/>
  <c r="E17" i="9"/>
  <c r="D71" i="12" s="1"/>
  <c r="E13" i="9"/>
  <c r="E45" i="9" s="1"/>
  <c r="E35" i="9" s="1"/>
  <c r="E9" i="9"/>
  <c r="D78" i="12"/>
  <c r="D79" i="12"/>
  <c r="D77" i="12"/>
  <c r="X14" i="1"/>
  <c r="X15" i="1"/>
  <c r="CQ5" i="1"/>
  <c r="CP15" i="1"/>
  <c r="CP49" i="1" s="1"/>
  <c r="CP14" i="1"/>
  <c r="CP48" i="1" s="1"/>
  <c r="CP13" i="1"/>
  <c r="CF5" i="1"/>
  <c r="CE13" i="1"/>
  <c r="CE14" i="1"/>
  <c r="CE48" i="1" s="1"/>
  <c r="CE15" i="1"/>
  <c r="CE49" i="1" s="1"/>
  <c r="F11" i="1"/>
  <c r="F13" i="1"/>
  <c r="F9" i="1"/>
  <c r="F10" i="1" s="1"/>
  <c r="F18" i="1" s="1"/>
  <c r="AX11" i="1"/>
  <c r="AX10" i="1"/>
  <c r="AX18" i="1" s="1"/>
  <c r="AM9" i="1"/>
  <c r="AM10" i="1"/>
  <c r="AM18" i="1" s="1"/>
  <c r="AM11" i="1"/>
  <c r="AB15" i="1"/>
  <c r="AB13" i="1"/>
  <c r="AB14" i="1"/>
  <c r="AB11" i="1"/>
  <c r="AB10" i="1"/>
  <c r="AB18" i="1" s="1"/>
  <c r="AB9" i="1"/>
  <c r="BJ5" i="1"/>
  <c r="BI13" i="1"/>
  <c r="BI14" i="1"/>
  <c r="BI48" i="1" s="1"/>
  <c r="BI15" i="1"/>
  <c r="BI49" i="1" s="1"/>
  <c r="AA27" i="1"/>
  <c r="AA31" i="1"/>
  <c r="E38" i="48"/>
  <c r="E37" i="48"/>
  <c r="I185" i="36"/>
  <c r="E75" i="36"/>
  <c r="G26" i="35"/>
  <c r="E5" i="12"/>
  <c r="E185" i="12" s="1"/>
  <c r="AW38" i="1"/>
  <c r="C13" i="12" s="1"/>
  <c r="AL38" i="1"/>
  <c r="C12" i="12" s="1"/>
  <c r="E38" i="1"/>
  <c r="C9" i="12" s="1"/>
  <c r="C8" i="12" s="1"/>
  <c r="O188" i="36"/>
  <c r="K188" i="36"/>
  <c r="M188" i="36"/>
  <c r="L188" i="36"/>
  <c r="N188" i="36"/>
  <c r="I186" i="36"/>
  <c r="M187" i="36"/>
  <c r="L187" i="36"/>
  <c r="G207" i="36"/>
  <c r="G210" i="36" s="1"/>
  <c r="K187" i="36"/>
  <c r="J186" i="36"/>
  <c r="J185" i="36"/>
  <c r="J187" i="36"/>
  <c r="K186" i="36"/>
  <c r="N187" i="36"/>
  <c r="M186" i="36"/>
  <c r="L186" i="36"/>
  <c r="F25" i="35"/>
  <c r="K185" i="36"/>
  <c r="N185" i="36"/>
  <c r="M185" i="36"/>
  <c r="L185" i="36"/>
  <c r="O185" i="36"/>
  <c r="G198" i="36"/>
  <c r="G201" i="36" s="1"/>
  <c r="N31" i="35"/>
  <c r="N33" i="35" s="1"/>
  <c r="M33" i="35"/>
  <c r="H166" i="36"/>
  <c r="O166" i="36"/>
  <c r="H164" i="36"/>
  <c r="O164" i="36"/>
  <c r="F163" i="36"/>
  <c r="K166" i="36"/>
  <c r="G179" i="36"/>
  <c r="G44" i="36"/>
  <c r="O183" i="36"/>
  <c r="G172" i="36"/>
  <c r="N172" i="36"/>
  <c r="F172" i="36"/>
  <c r="L172" i="36"/>
  <c r="K172" i="36"/>
  <c r="M172" i="36"/>
  <c r="J172" i="36"/>
  <c r="I172" i="36"/>
  <c r="H172" i="36"/>
  <c r="J164" i="36"/>
  <c r="M164" i="36"/>
  <c r="H171" i="36"/>
  <c r="M171" i="36"/>
  <c r="K171" i="36"/>
  <c r="G171" i="36"/>
  <c r="L171" i="36"/>
  <c r="N171" i="36"/>
  <c r="F171" i="36"/>
  <c r="J171" i="36"/>
  <c r="I171" i="36"/>
  <c r="L165" i="36"/>
  <c r="H165" i="36"/>
  <c r="N165" i="36"/>
  <c r="K165" i="36"/>
  <c r="I165" i="36"/>
  <c r="G165" i="36"/>
  <c r="J165" i="36"/>
  <c r="F165" i="36"/>
  <c r="M165" i="36"/>
  <c r="G183" i="36"/>
  <c r="F166" i="36"/>
  <c r="F22" i="35"/>
  <c r="N173" i="36"/>
  <c r="F173" i="36"/>
  <c r="K173" i="36"/>
  <c r="J173" i="36"/>
  <c r="I173" i="36"/>
  <c r="H173" i="36"/>
  <c r="M173" i="36"/>
  <c r="L173" i="36"/>
  <c r="G173" i="36"/>
  <c r="I170" i="36"/>
  <c r="N170" i="36"/>
  <c r="M170" i="36"/>
  <c r="H170" i="36"/>
  <c r="F170" i="36"/>
  <c r="G170" i="36"/>
  <c r="L170" i="36"/>
  <c r="K170" i="36"/>
  <c r="J170" i="36"/>
  <c r="I164" i="36"/>
  <c r="G166" i="36"/>
  <c r="L164" i="36"/>
  <c r="F164" i="36"/>
  <c r="L166" i="36"/>
  <c r="C152" i="12"/>
  <c r="J166" i="36"/>
  <c r="K168" i="36"/>
  <c r="H168" i="36"/>
  <c r="F168" i="36"/>
  <c r="J168" i="36"/>
  <c r="G168" i="36"/>
  <c r="I168" i="36"/>
  <c r="N168" i="36"/>
  <c r="M168" i="36"/>
  <c r="L168" i="36"/>
  <c r="N174" i="36"/>
  <c r="F174" i="36"/>
  <c r="K164" i="36"/>
  <c r="G164" i="36"/>
  <c r="M166" i="36"/>
  <c r="N166" i="36"/>
  <c r="I5" i="36"/>
  <c r="H52" i="36"/>
  <c r="N164" i="36"/>
  <c r="J169" i="36"/>
  <c r="G169" i="36"/>
  <c r="F169" i="36"/>
  <c r="M169" i="36"/>
  <c r="I169" i="36"/>
  <c r="N169" i="36"/>
  <c r="L169" i="36"/>
  <c r="H169" i="36"/>
  <c r="K169" i="36"/>
  <c r="H50" i="36"/>
  <c r="C170" i="12"/>
  <c r="C199" i="12" s="1"/>
  <c r="L175" i="36"/>
  <c r="N175" i="36"/>
  <c r="F175" i="36"/>
  <c r="M175" i="36"/>
  <c r="G163" i="36"/>
  <c r="D179" i="36"/>
  <c r="G162" i="36"/>
  <c r="F162" i="36"/>
  <c r="J184" i="36"/>
  <c r="G184" i="36"/>
  <c r="H184" i="36"/>
  <c r="K184" i="36"/>
  <c r="I184" i="36"/>
  <c r="G181" i="36"/>
  <c r="K181" i="36"/>
  <c r="J181" i="36"/>
  <c r="I181" i="36"/>
  <c r="H181" i="36"/>
  <c r="G167" i="36"/>
  <c r="N167" i="36"/>
  <c r="F167" i="36"/>
  <c r="K167" i="36"/>
  <c r="J167" i="36"/>
  <c r="I167" i="36"/>
  <c r="M167" i="36"/>
  <c r="L167" i="36"/>
  <c r="H167" i="36"/>
  <c r="N183" i="36"/>
  <c r="I183" i="36"/>
  <c r="K183" i="36"/>
  <c r="H183" i="36"/>
  <c r="J183" i="36"/>
  <c r="M183" i="36"/>
  <c r="L183" i="36"/>
  <c r="D181" i="36"/>
  <c r="I54" i="36"/>
  <c r="I48" i="36"/>
  <c r="EI44" i="27"/>
  <c r="DM44" i="27"/>
  <c r="EH44" i="27"/>
  <c r="DL44" i="27"/>
  <c r="EG44" i="27"/>
  <c r="DK44" i="27"/>
  <c r="EF44" i="27"/>
  <c r="DJ44" i="27"/>
  <c r="F3" i="28"/>
  <c r="G5" i="1"/>
  <c r="AY5" i="1"/>
  <c r="AC5" i="1"/>
  <c r="AN5" i="1"/>
  <c r="G16" i="35"/>
  <c r="F33" i="35"/>
  <c r="G33" i="35"/>
  <c r="D189" i="36"/>
  <c r="H47" i="36"/>
  <c r="J11" i="35"/>
  <c r="D180" i="36"/>
  <c r="D185" i="36"/>
  <c r="D192" i="36"/>
  <c r="D190" i="36"/>
  <c r="D184" i="36"/>
  <c r="D182" i="36"/>
  <c r="D186" i="36"/>
  <c r="D188" i="36"/>
  <c r="D191" i="36"/>
  <c r="D187" i="36"/>
  <c r="D183" i="36"/>
  <c r="G226" i="36" l="1"/>
  <c r="G233" i="36"/>
  <c r="G229" i="36"/>
  <c r="G174" i="36"/>
  <c r="K174" i="36"/>
  <c r="J174" i="36"/>
  <c r="M174" i="36"/>
  <c r="G180" i="36"/>
  <c r="G193" i="36" s="1"/>
  <c r="I174" i="36"/>
  <c r="D152" i="12"/>
  <c r="L174" i="36"/>
  <c r="I128" i="36"/>
  <c r="H144" i="36"/>
  <c r="I129" i="36"/>
  <c r="H145" i="36"/>
  <c r="H180" i="36" s="1"/>
  <c r="F158" i="36"/>
  <c r="D158" i="12"/>
  <c r="I213" i="36"/>
  <c r="I58" i="36"/>
  <c r="I214" i="36"/>
  <c r="I216" i="36"/>
  <c r="I217" i="36"/>
  <c r="I55" i="36"/>
  <c r="I205" i="36"/>
  <c r="I199" i="36"/>
  <c r="I37" i="36"/>
  <c r="I200" i="36"/>
  <c r="I36" i="36"/>
  <c r="I206" i="36"/>
  <c r="I56" i="36"/>
  <c r="I208" i="36"/>
  <c r="I196" i="36"/>
  <c r="I209" i="36"/>
  <c r="I197" i="36"/>
  <c r="H174" i="36"/>
  <c r="H176" i="36" s="1"/>
  <c r="H235" i="36" s="1"/>
  <c r="H215" i="36"/>
  <c r="F19" i="28"/>
  <c r="F23" i="28" s="1"/>
  <c r="AW44" i="1"/>
  <c r="AL44" i="1"/>
  <c r="P44" i="1"/>
  <c r="P42" i="1" s="1"/>
  <c r="P52" i="1" s="1"/>
  <c r="F36" i="48"/>
  <c r="G15" i="1"/>
  <c r="G17" i="1"/>
  <c r="G57" i="1"/>
  <c r="G19" i="1"/>
  <c r="G60" i="1"/>
  <c r="G56" i="1"/>
  <c r="F58" i="1"/>
  <c r="Q56" i="1"/>
  <c r="AX56" i="1"/>
  <c r="AM56" i="1"/>
  <c r="Q60" i="1"/>
  <c r="AX60" i="1"/>
  <c r="AM60" i="1"/>
  <c r="Q57" i="1"/>
  <c r="AX57" i="1"/>
  <c r="AM57" i="1"/>
  <c r="AL58" i="1"/>
  <c r="P58" i="1"/>
  <c r="AW58" i="1"/>
  <c r="AN17" i="1"/>
  <c r="AN19" i="1"/>
  <c r="AC17" i="1"/>
  <c r="AC19" i="1"/>
  <c r="AY17" i="1"/>
  <c r="AY19" i="1"/>
  <c r="AB44" i="1"/>
  <c r="E189" i="12"/>
  <c r="E36" i="12"/>
  <c r="E68" i="12"/>
  <c r="F44" i="1"/>
  <c r="BJ68" i="1"/>
  <c r="BJ67" i="1"/>
  <c r="CF69" i="1"/>
  <c r="CF70" i="1"/>
  <c r="D113" i="12"/>
  <c r="D100" i="12"/>
  <c r="E49" i="1"/>
  <c r="E39" i="1"/>
  <c r="E233" i="12"/>
  <c r="E206" i="12" s="1"/>
  <c r="E73" i="12"/>
  <c r="E41" i="12"/>
  <c r="E221" i="28"/>
  <c r="J49" i="36"/>
  <c r="D248" i="12"/>
  <c r="E15" i="38"/>
  <c r="E219" i="28"/>
  <c r="F14" i="1"/>
  <c r="D122" i="12"/>
  <c r="E124" i="12"/>
  <c r="E123" i="12"/>
  <c r="E114" i="12"/>
  <c r="E115" i="12"/>
  <c r="E116" i="12"/>
  <c r="E134" i="12" s="1"/>
  <c r="E168" i="12" s="1"/>
  <c r="E197" i="12" s="1"/>
  <c r="E119" i="12"/>
  <c r="E120" i="12"/>
  <c r="E121" i="12"/>
  <c r="D147" i="12"/>
  <c r="D112" i="12"/>
  <c r="F93" i="28"/>
  <c r="F38" i="28"/>
  <c r="F41" i="28" s="1"/>
  <c r="E42" i="9"/>
  <c r="E32" i="9" s="1"/>
  <c r="E39" i="9"/>
  <c r="E29" i="9" s="1"/>
  <c r="D45" i="12"/>
  <c r="D104" i="12" s="1"/>
  <c r="D47" i="12"/>
  <c r="D106" i="12" s="1"/>
  <c r="D72" i="12"/>
  <c r="D99" i="12" s="1"/>
  <c r="E40" i="9"/>
  <c r="E30" i="9" s="1"/>
  <c r="C38" i="12"/>
  <c r="E25" i="9"/>
  <c r="D46" i="12"/>
  <c r="D105" i="12" s="1"/>
  <c r="D42" i="12"/>
  <c r="D101" i="12" s="1"/>
  <c r="E38" i="9"/>
  <c r="E28" i="9" s="1"/>
  <c r="E14" i="9"/>
  <c r="D44" i="12"/>
  <c r="D103" i="12" s="1"/>
  <c r="D98" i="12"/>
  <c r="E41" i="9"/>
  <c r="E31" i="9" s="1"/>
  <c r="D43" i="12"/>
  <c r="D102" i="12" s="1"/>
  <c r="G3" i="9"/>
  <c r="F6" i="9"/>
  <c r="E39" i="12" s="1"/>
  <c r="F18" i="9"/>
  <c r="E72" i="12" s="1"/>
  <c r="F10" i="9"/>
  <c r="E44" i="12" s="1"/>
  <c r="F11" i="9"/>
  <c r="F43" i="9" s="1"/>
  <c r="F33" i="9" s="1"/>
  <c r="F8" i="9"/>
  <c r="E42" i="12" s="1"/>
  <c r="F19" i="9"/>
  <c r="E74" i="12" s="1"/>
  <c r="F20" i="9"/>
  <c r="E75" i="12" s="1"/>
  <c r="F12" i="9"/>
  <c r="F44" i="9" s="1"/>
  <c r="F34" i="9" s="1"/>
  <c r="F21" i="9"/>
  <c r="F17" i="9"/>
  <c r="F13" i="9"/>
  <c r="F45" i="9" s="1"/>
  <c r="F35" i="9" s="1"/>
  <c r="F9" i="9"/>
  <c r="F7" i="9"/>
  <c r="E78" i="12"/>
  <c r="E79" i="12"/>
  <c r="E77" i="12"/>
  <c r="CG5" i="1"/>
  <c r="CF13" i="1"/>
  <c r="CF14" i="1"/>
  <c r="CF48" i="1" s="1"/>
  <c r="CF15" i="1"/>
  <c r="CF49" i="1" s="1"/>
  <c r="CR5" i="1"/>
  <c r="CQ15" i="1"/>
  <c r="CQ49" i="1" s="1"/>
  <c r="CQ13" i="1"/>
  <c r="CQ14" i="1"/>
  <c r="CQ48" i="1" s="1"/>
  <c r="AL48" i="1"/>
  <c r="AL49" i="1"/>
  <c r="AW48" i="1"/>
  <c r="AW49" i="1"/>
  <c r="AC13" i="1"/>
  <c r="AC14" i="1"/>
  <c r="AC15" i="1"/>
  <c r="AC10" i="1"/>
  <c r="AC18" i="1" s="1"/>
  <c r="AC11" i="1"/>
  <c r="AC9" i="1"/>
  <c r="G13" i="1"/>
  <c r="G9" i="1"/>
  <c r="G11" i="1"/>
  <c r="BK5" i="1"/>
  <c r="BJ15" i="1"/>
  <c r="BJ49" i="1" s="1"/>
  <c r="BJ14" i="1"/>
  <c r="BJ48" i="1" s="1"/>
  <c r="BJ13" i="1"/>
  <c r="AN11" i="1"/>
  <c r="AN10" i="1"/>
  <c r="AN18" i="1" s="1"/>
  <c r="AN9" i="1"/>
  <c r="AY10" i="1"/>
  <c r="AY18" i="1" s="1"/>
  <c r="AY11" i="1"/>
  <c r="G40" i="48"/>
  <c r="AB31" i="1"/>
  <c r="AB27" i="1"/>
  <c r="E41" i="48"/>
  <c r="F38" i="48"/>
  <c r="F37" i="48"/>
  <c r="H26" i="35"/>
  <c r="E48" i="1"/>
  <c r="F5" i="12"/>
  <c r="F185" i="12" s="1"/>
  <c r="F38" i="1"/>
  <c r="AM38" i="1"/>
  <c r="D12" i="12" s="1"/>
  <c r="AX38" i="1"/>
  <c r="D13" i="12" s="1"/>
  <c r="AA38" i="1"/>
  <c r="C11" i="12" s="1"/>
  <c r="H198" i="36"/>
  <c r="H201" i="36" s="1"/>
  <c r="H202" i="36" s="1"/>
  <c r="H207" i="36"/>
  <c r="H210" i="36" s="1"/>
  <c r="G63" i="36"/>
  <c r="E9" i="38" s="1"/>
  <c r="G25" i="35"/>
  <c r="E49" i="35"/>
  <c r="I52" i="36"/>
  <c r="G22" i="35"/>
  <c r="J5" i="36"/>
  <c r="I50" i="36"/>
  <c r="J54" i="36"/>
  <c r="J48" i="36"/>
  <c r="G3" i="28"/>
  <c r="G19" i="28" s="1"/>
  <c r="AD5" i="1"/>
  <c r="AZ5" i="1"/>
  <c r="AO5" i="1"/>
  <c r="H5" i="1"/>
  <c r="H16" i="35"/>
  <c r="H33" i="35"/>
  <c r="I47" i="36"/>
  <c r="K11" i="35"/>
  <c r="F176" i="36"/>
  <c r="G176" i="36"/>
  <c r="G235" i="36" s="1"/>
  <c r="G236" i="36" s="1"/>
  <c r="H233" i="36" l="1"/>
  <c r="D9" i="12"/>
  <c r="D8" i="12" s="1"/>
  <c r="F42" i="1"/>
  <c r="D174" i="12"/>
  <c r="H230" i="36"/>
  <c r="C174" i="12"/>
  <c r="G230" i="36"/>
  <c r="E152" i="12"/>
  <c r="G231" i="36"/>
  <c r="H226" i="36"/>
  <c r="G159" i="36"/>
  <c r="I215" i="36"/>
  <c r="J129" i="36"/>
  <c r="I145" i="36"/>
  <c r="I180" i="36" s="1"/>
  <c r="I163" i="36"/>
  <c r="H179" i="36"/>
  <c r="H193" i="36" s="1"/>
  <c r="H158" i="36"/>
  <c r="H234" i="36" s="1"/>
  <c r="H236" i="36" s="1"/>
  <c r="E158" i="12"/>
  <c r="J128" i="36"/>
  <c r="I144" i="36"/>
  <c r="I162" i="36"/>
  <c r="J214" i="36"/>
  <c r="J216" i="36"/>
  <c r="J213" i="36"/>
  <c r="J217" i="36"/>
  <c r="J58" i="36"/>
  <c r="J205" i="36"/>
  <c r="J200" i="36"/>
  <c r="J55" i="36"/>
  <c r="J206" i="36"/>
  <c r="J56" i="36"/>
  <c r="J197" i="36"/>
  <c r="J208" i="36"/>
  <c r="J196" i="36"/>
  <c r="J36" i="36"/>
  <c r="J209" i="36"/>
  <c r="J199" i="36"/>
  <c r="J37" i="36"/>
  <c r="AM44" i="1"/>
  <c r="P61" i="1"/>
  <c r="AX44" i="1"/>
  <c r="Q44" i="1"/>
  <c r="AO17" i="1"/>
  <c r="AO19" i="1"/>
  <c r="AX58" i="1"/>
  <c r="AM58" i="1"/>
  <c r="Q58" i="1"/>
  <c r="AZ17" i="1"/>
  <c r="AZ19" i="1"/>
  <c r="C18" i="12"/>
  <c r="C58" i="12"/>
  <c r="P51" i="1"/>
  <c r="P45" i="1"/>
  <c r="P46" i="1" s="1"/>
  <c r="R60" i="1"/>
  <c r="AY60" i="1"/>
  <c r="AN60" i="1"/>
  <c r="AY57" i="1"/>
  <c r="R57" i="1"/>
  <c r="AN57" i="1"/>
  <c r="G44" i="1"/>
  <c r="H15" i="1"/>
  <c r="H17" i="1"/>
  <c r="H57" i="1"/>
  <c r="H19" i="1"/>
  <c r="H60" i="1"/>
  <c r="H56" i="1"/>
  <c r="AY56" i="1"/>
  <c r="G58" i="1"/>
  <c r="R56" i="1"/>
  <c r="AN56" i="1"/>
  <c r="AD17" i="1"/>
  <c r="AD19" i="1"/>
  <c r="E35" i="38"/>
  <c r="F189" i="12"/>
  <c r="F68" i="12"/>
  <c r="F36" i="12"/>
  <c r="D136" i="12"/>
  <c r="D170" i="12" s="1"/>
  <c r="D199" i="12" s="1"/>
  <c r="AC44" i="1"/>
  <c r="BK67" i="1"/>
  <c r="BK68" i="1"/>
  <c r="CG69" i="1"/>
  <c r="CG70" i="1"/>
  <c r="E113" i="12"/>
  <c r="E100" i="12"/>
  <c r="F49" i="1"/>
  <c r="F39" i="1"/>
  <c r="F233" i="12"/>
  <c r="F206" i="12" s="1"/>
  <c r="F41" i="12"/>
  <c r="F73" i="12"/>
  <c r="F221" i="28"/>
  <c r="K49" i="36"/>
  <c r="E248" i="12"/>
  <c r="F219" i="28"/>
  <c r="E122" i="12"/>
  <c r="E136" i="12" s="1"/>
  <c r="F124" i="12"/>
  <c r="F123" i="12"/>
  <c r="F114" i="12"/>
  <c r="F115" i="12"/>
  <c r="F116" i="12"/>
  <c r="F134" i="12" s="1"/>
  <c r="F168" i="12" s="1"/>
  <c r="F197" i="12" s="1"/>
  <c r="F120" i="12"/>
  <c r="F119" i="12"/>
  <c r="F121" i="12"/>
  <c r="E147" i="12"/>
  <c r="D70" i="12"/>
  <c r="E112" i="12"/>
  <c r="G93" i="28"/>
  <c r="G23" i="28"/>
  <c r="G38" i="28"/>
  <c r="G41" i="28" s="1"/>
  <c r="F39" i="9"/>
  <c r="F29" i="9" s="1"/>
  <c r="E46" i="9"/>
  <c r="E36" i="9" s="1"/>
  <c r="E45" i="12"/>
  <c r="E104" i="12" s="1"/>
  <c r="F42" i="9"/>
  <c r="F32" i="9" s="1"/>
  <c r="E101" i="12"/>
  <c r="F40" i="9"/>
  <c r="F30" i="9" s="1"/>
  <c r="E40" i="12"/>
  <c r="E99" i="12" s="1"/>
  <c r="F41" i="9"/>
  <c r="F31" i="9" s="1"/>
  <c r="F25" i="9"/>
  <c r="H3" i="9"/>
  <c r="G18" i="9"/>
  <c r="F72" i="12" s="1"/>
  <c r="G10" i="9"/>
  <c r="F44" i="12" s="1"/>
  <c r="G20" i="9"/>
  <c r="F75" i="12" s="1"/>
  <c r="G8" i="9"/>
  <c r="F42" i="12" s="1"/>
  <c r="G19" i="9"/>
  <c r="F74" i="12" s="1"/>
  <c r="G11" i="9"/>
  <c r="G43" i="9" s="1"/>
  <c r="G33" i="9" s="1"/>
  <c r="G7" i="9"/>
  <c r="G21" i="9"/>
  <c r="G17" i="9"/>
  <c r="G13" i="9"/>
  <c r="G45" i="9" s="1"/>
  <c r="G35" i="9" s="1"/>
  <c r="G9" i="9"/>
  <c r="G12" i="9"/>
  <c r="G44" i="9" s="1"/>
  <c r="G34" i="9" s="1"/>
  <c r="G6" i="9"/>
  <c r="F39" i="12" s="1"/>
  <c r="E46" i="12"/>
  <c r="E105" i="12" s="1"/>
  <c r="E71" i="12"/>
  <c r="E98" i="12" s="1"/>
  <c r="D38" i="12"/>
  <c r="E43" i="12"/>
  <c r="E102" i="12" s="1"/>
  <c r="E76" i="12"/>
  <c r="E47" i="12"/>
  <c r="E106" i="12" s="1"/>
  <c r="F38" i="9"/>
  <c r="F28" i="9" s="1"/>
  <c r="F14" i="9"/>
  <c r="F79" i="12"/>
  <c r="F77" i="12"/>
  <c r="F78" i="12"/>
  <c r="G36" i="48"/>
  <c r="G10" i="1"/>
  <c r="AA48" i="1"/>
  <c r="AX48" i="1"/>
  <c r="AX49" i="1"/>
  <c r="AM48" i="1"/>
  <c r="AM49" i="1"/>
  <c r="CS5" i="1"/>
  <c r="CR13" i="1"/>
  <c r="CR14" i="1"/>
  <c r="CR48" i="1" s="1"/>
  <c r="CR15" i="1"/>
  <c r="CR49" i="1" s="1"/>
  <c r="CH5" i="1"/>
  <c r="CG14" i="1"/>
  <c r="CG48" i="1" s="1"/>
  <c r="CG15" i="1"/>
  <c r="CG49" i="1" s="1"/>
  <c r="CG13" i="1"/>
  <c r="BL5" i="1"/>
  <c r="BK14" i="1"/>
  <c r="BK48" i="1" s="1"/>
  <c r="BK15" i="1"/>
  <c r="BK49" i="1" s="1"/>
  <c r="BK13" i="1"/>
  <c r="AD9" i="1"/>
  <c r="AD14" i="1"/>
  <c r="AD15" i="1"/>
  <c r="AD13" i="1"/>
  <c r="AD10" i="1"/>
  <c r="AD18" i="1" s="1"/>
  <c r="AD11" i="1"/>
  <c r="H11" i="1"/>
  <c r="H13" i="1"/>
  <c r="H9" i="1"/>
  <c r="H10" i="1" s="1"/>
  <c r="AO10" i="1"/>
  <c r="AO18" i="1" s="1"/>
  <c r="AO11" i="1"/>
  <c r="AO9" i="1"/>
  <c r="AZ11" i="1"/>
  <c r="AZ10" i="1"/>
  <c r="AZ18" i="1" s="1"/>
  <c r="AC23" i="1"/>
  <c r="AC27" i="1"/>
  <c r="AC31" i="1"/>
  <c r="F41" i="48"/>
  <c r="G38" i="48"/>
  <c r="G37" i="48"/>
  <c r="I75" i="36"/>
  <c r="F53" i="35"/>
  <c r="I26" i="35"/>
  <c r="F48" i="1"/>
  <c r="G5" i="12"/>
  <c r="G185" i="12" s="1"/>
  <c r="AB38" i="1"/>
  <c r="D11" i="12" s="1"/>
  <c r="AN38" i="1"/>
  <c r="E12" i="12" s="1"/>
  <c r="G38" i="1"/>
  <c r="AY38" i="1"/>
  <c r="E13" i="12" s="1"/>
  <c r="I198" i="36"/>
  <c r="I201" i="36" s="1"/>
  <c r="I202" i="36" s="1"/>
  <c r="I207" i="36"/>
  <c r="I210" i="36" s="1"/>
  <c r="H25" i="35"/>
  <c r="D182" i="12"/>
  <c r="C182" i="12"/>
  <c r="J50" i="36"/>
  <c r="K5" i="36"/>
  <c r="H22" i="35"/>
  <c r="J52" i="36"/>
  <c r="K54" i="36"/>
  <c r="K48" i="36"/>
  <c r="H3" i="28"/>
  <c r="H19" i="28" s="1"/>
  <c r="AP5" i="1"/>
  <c r="BA5" i="1"/>
  <c r="I5" i="1"/>
  <c r="AE5" i="1"/>
  <c r="I16" i="35"/>
  <c r="I33" i="35"/>
  <c r="J47" i="36"/>
  <c r="L11" i="35"/>
  <c r="M11" i="35" s="1"/>
  <c r="N11" i="35" s="1"/>
  <c r="F52" i="1" l="1"/>
  <c r="E9" i="12"/>
  <c r="G42" i="1"/>
  <c r="F51" i="1"/>
  <c r="AN44" i="1"/>
  <c r="I226" i="36"/>
  <c r="I233" i="36"/>
  <c r="F35" i="38"/>
  <c r="H159" i="36"/>
  <c r="H229" i="36"/>
  <c r="H231" i="36" s="1"/>
  <c r="I176" i="36"/>
  <c r="E174" i="12" s="1"/>
  <c r="E182" i="12" s="1"/>
  <c r="K128" i="36"/>
  <c r="J144" i="36"/>
  <c r="J162" i="36"/>
  <c r="F152" i="12"/>
  <c r="I158" i="36"/>
  <c r="I234" i="36" s="1"/>
  <c r="I179" i="36"/>
  <c r="I193" i="36" s="1"/>
  <c r="J215" i="36"/>
  <c r="K129" i="36"/>
  <c r="J145" i="36"/>
  <c r="J180" i="36" s="1"/>
  <c r="J163" i="36"/>
  <c r="K214" i="36"/>
  <c r="K58" i="36"/>
  <c r="K213" i="36"/>
  <c r="K215" i="36" s="1"/>
  <c r="K216" i="36"/>
  <c r="K217" i="36"/>
  <c r="K206" i="36"/>
  <c r="K56" i="36"/>
  <c r="K200" i="36"/>
  <c r="K55" i="36"/>
  <c r="K205" i="36"/>
  <c r="K36" i="36"/>
  <c r="K197" i="36"/>
  <c r="K208" i="36"/>
  <c r="K196" i="36"/>
  <c r="K209" i="36"/>
  <c r="K199" i="36"/>
  <c r="K37" i="36"/>
  <c r="AY44" i="1"/>
  <c r="AZ57" i="1"/>
  <c r="AO57" i="1"/>
  <c r="S57" i="1"/>
  <c r="C26" i="12"/>
  <c r="C85" i="12" s="1"/>
  <c r="P53" i="1"/>
  <c r="AN58" i="1"/>
  <c r="AY58" i="1"/>
  <c r="R58" i="1"/>
  <c r="AP17" i="1"/>
  <c r="AP19" i="1"/>
  <c r="R44" i="1"/>
  <c r="AE17" i="1"/>
  <c r="AE19" i="1"/>
  <c r="AZ56" i="1"/>
  <c r="AO56" i="1"/>
  <c r="S56" i="1"/>
  <c r="H58" i="1"/>
  <c r="I15" i="1"/>
  <c r="I17" i="1"/>
  <c r="I57" i="1"/>
  <c r="I19" i="1"/>
  <c r="I56" i="1"/>
  <c r="I60" i="1"/>
  <c r="AZ60" i="1"/>
  <c r="AO60" i="1"/>
  <c r="S60" i="1"/>
  <c r="BA17" i="1"/>
  <c r="BA19" i="1"/>
  <c r="Q42" i="1"/>
  <c r="Q52" i="1" s="1"/>
  <c r="Q61" i="1"/>
  <c r="H18" i="1"/>
  <c r="H27" i="1"/>
  <c r="H31" i="1" s="1"/>
  <c r="H36" i="48"/>
  <c r="G18" i="1"/>
  <c r="G27" i="1"/>
  <c r="G31" i="1" s="1"/>
  <c r="G189" i="12"/>
  <c r="H44" i="1"/>
  <c r="AD44" i="1"/>
  <c r="BL68" i="1"/>
  <c r="BL67" i="1"/>
  <c r="CH69" i="1"/>
  <c r="CH70" i="1"/>
  <c r="F113" i="12"/>
  <c r="F158" i="12"/>
  <c r="G49" i="1"/>
  <c r="G233" i="12"/>
  <c r="G206" i="12" s="1"/>
  <c r="G41" i="12"/>
  <c r="G73" i="12"/>
  <c r="F100" i="12"/>
  <c r="G221" i="28"/>
  <c r="L49" i="36"/>
  <c r="F248" i="12"/>
  <c r="E170" i="12"/>
  <c r="E199" i="12" s="1"/>
  <c r="F112" i="12"/>
  <c r="F122" i="12"/>
  <c r="F136" i="12" s="1"/>
  <c r="G219" i="28"/>
  <c r="G14" i="1"/>
  <c r="H14" i="1"/>
  <c r="G124" i="12"/>
  <c r="G123" i="12"/>
  <c r="G114" i="12"/>
  <c r="G115" i="12"/>
  <c r="G116" i="12"/>
  <c r="G134" i="12" s="1"/>
  <c r="G168" i="12" s="1"/>
  <c r="G197" i="12" s="1"/>
  <c r="G119" i="12"/>
  <c r="G120" i="12"/>
  <c r="G121" i="12"/>
  <c r="D97" i="12"/>
  <c r="F147" i="12"/>
  <c r="H93" i="28"/>
  <c r="H38" i="28"/>
  <c r="H41" i="28" s="1"/>
  <c r="H23" i="28"/>
  <c r="F45" i="12"/>
  <c r="F104" i="12" s="1"/>
  <c r="F46" i="9"/>
  <c r="F36" i="9" s="1"/>
  <c r="G39" i="9"/>
  <c r="G29" i="9" s="1"/>
  <c r="F46" i="12"/>
  <c r="F105" i="12" s="1"/>
  <c r="G40" i="9"/>
  <c r="G30" i="9" s="1"/>
  <c r="G41" i="9"/>
  <c r="G31" i="9" s="1"/>
  <c r="G25" i="9"/>
  <c r="E70" i="12"/>
  <c r="G42" i="9"/>
  <c r="G32" i="9" s="1"/>
  <c r="E38" i="12"/>
  <c r="E103" i="12"/>
  <c r="F47" i="12"/>
  <c r="F106" i="12" s="1"/>
  <c r="F71" i="12"/>
  <c r="F98" i="12" s="1"/>
  <c r="F101" i="12"/>
  <c r="F40" i="12"/>
  <c r="F99" i="12" s="1"/>
  <c r="F76" i="12"/>
  <c r="F103" i="12" s="1"/>
  <c r="G38" i="9"/>
  <c r="G28" i="9" s="1"/>
  <c r="G14" i="9"/>
  <c r="F43" i="12"/>
  <c r="F102" i="12" s="1"/>
  <c r="I3" i="9"/>
  <c r="H20" i="9"/>
  <c r="G75" i="12" s="1"/>
  <c r="H19" i="9"/>
  <c r="G74" i="12" s="1"/>
  <c r="H11" i="9"/>
  <c r="H43" i="9" s="1"/>
  <c r="H33" i="9" s="1"/>
  <c r="H7" i="9"/>
  <c r="G40" i="12" s="1"/>
  <c r="H8" i="9"/>
  <c r="H21" i="9"/>
  <c r="G76" i="12" s="1"/>
  <c r="H17" i="9"/>
  <c r="H13" i="9"/>
  <c r="H45" i="9" s="1"/>
  <c r="H35" i="9" s="1"/>
  <c r="H9" i="9"/>
  <c r="G43" i="12" s="1"/>
  <c r="H6" i="9"/>
  <c r="H12" i="9"/>
  <c r="H44" i="9" s="1"/>
  <c r="H34" i="9" s="1"/>
  <c r="H18" i="9"/>
  <c r="G72" i="12" s="1"/>
  <c r="H10" i="9"/>
  <c r="G44" i="12" s="1"/>
  <c r="G79" i="12"/>
  <c r="G77" i="12"/>
  <c r="G78" i="12"/>
  <c r="AN48" i="1"/>
  <c r="AN49" i="1"/>
  <c r="AB48" i="1"/>
  <c r="CT5" i="1"/>
  <c r="CS13" i="1"/>
  <c r="CS38" i="1" s="1"/>
  <c r="CS14" i="1"/>
  <c r="CS48" i="1" s="1"/>
  <c r="CS15" i="1"/>
  <c r="CS49" i="1" s="1"/>
  <c r="AY49" i="1"/>
  <c r="AY48" i="1"/>
  <c r="CI5" i="1"/>
  <c r="CH14" i="1"/>
  <c r="CH48" i="1" s="1"/>
  <c r="CH15" i="1"/>
  <c r="CH49" i="1" s="1"/>
  <c r="CH13" i="1"/>
  <c r="CH38" i="1" s="1"/>
  <c r="I13" i="1"/>
  <c r="I9" i="1"/>
  <c r="I10" i="1" s="1"/>
  <c r="I18" i="1" s="1"/>
  <c r="I11" i="1"/>
  <c r="BA11" i="1"/>
  <c r="BA10" i="1"/>
  <c r="BA18" i="1" s="1"/>
  <c r="AE14" i="1"/>
  <c r="AE15" i="1"/>
  <c r="AE9" i="1"/>
  <c r="AE10" i="1"/>
  <c r="AE18" i="1" s="1"/>
  <c r="AE13" i="1"/>
  <c r="AE11" i="1"/>
  <c r="AP11" i="1"/>
  <c r="AP10" i="1"/>
  <c r="AP18" i="1" s="1"/>
  <c r="AP9" i="1"/>
  <c r="BM5" i="1"/>
  <c r="BL15" i="1"/>
  <c r="BL49" i="1" s="1"/>
  <c r="BL14" i="1"/>
  <c r="BL48" i="1" s="1"/>
  <c r="BL13" i="1"/>
  <c r="BL38" i="1" s="1"/>
  <c r="BL44" i="1" s="1"/>
  <c r="AD31" i="1"/>
  <c r="AD23" i="1"/>
  <c r="AD27" i="1"/>
  <c r="H38" i="48"/>
  <c r="H37" i="48"/>
  <c r="E19" i="38"/>
  <c r="E33" i="38" s="1"/>
  <c r="G53" i="35"/>
  <c r="F19" i="38" s="1"/>
  <c r="F33" i="38" s="1"/>
  <c r="J75" i="36"/>
  <c r="J26" i="35"/>
  <c r="H5" i="12"/>
  <c r="H185" i="12" s="1"/>
  <c r="AZ38" i="1"/>
  <c r="F13" i="12" s="1"/>
  <c r="AO38" i="1"/>
  <c r="F12" i="12" s="1"/>
  <c r="J198" i="36"/>
  <c r="J201" i="36" s="1"/>
  <c r="J202" i="36" s="1"/>
  <c r="J207" i="36"/>
  <c r="J210" i="36" s="1"/>
  <c r="I25" i="35"/>
  <c r="L5" i="36"/>
  <c r="K52" i="36"/>
  <c r="I22" i="35"/>
  <c r="K50" i="36"/>
  <c r="L54" i="36"/>
  <c r="L48" i="36"/>
  <c r="I3" i="28"/>
  <c r="I19" i="28" s="1"/>
  <c r="BB5" i="1"/>
  <c r="AF5" i="1"/>
  <c r="J5" i="1"/>
  <c r="AQ5" i="1"/>
  <c r="J16" i="35"/>
  <c r="J33" i="35"/>
  <c r="K47" i="36"/>
  <c r="C53" i="17"/>
  <c r="B53" i="17"/>
  <c r="C52" i="17"/>
  <c r="B52" i="17"/>
  <c r="C51" i="17"/>
  <c r="B51" i="17"/>
  <c r="C50" i="17"/>
  <c r="B50" i="17"/>
  <c r="C49" i="17"/>
  <c r="B49" i="17"/>
  <c r="C48" i="17"/>
  <c r="B48" i="17"/>
  <c r="C47" i="17"/>
  <c r="B47" i="17"/>
  <c r="C46" i="17"/>
  <c r="B46" i="17"/>
  <c r="C45" i="17"/>
  <c r="B45" i="17"/>
  <c r="C44" i="17"/>
  <c r="B44" i="17"/>
  <c r="C43" i="17"/>
  <c r="B43" i="17"/>
  <c r="C42" i="17"/>
  <c r="B42" i="17"/>
  <c r="C41" i="17"/>
  <c r="B41" i="17"/>
  <c r="C40" i="17"/>
  <c r="B40" i="17"/>
  <c r="C39" i="17"/>
  <c r="B39" i="17"/>
  <c r="C38" i="17"/>
  <c r="B38" i="17"/>
  <c r="C37" i="17"/>
  <c r="B37" i="17"/>
  <c r="C36" i="17"/>
  <c r="B36" i="17"/>
  <c r="C35" i="17"/>
  <c r="B35" i="17"/>
  <c r="C34" i="17"/>
  <c r="B34" i="17"/>
  <c r="C33" i="17"/>
  <c r="B33" i="17"/>
  <c r="C32" i="17"/>
  <c r="B32" i="17"/>
  <c r="C31" i="17"/>
  <c r="B31" i="17"/>
  <c r="I230" i="36" l="1"/>
  <c r="I235" i="36"/>
  <c r="I236" i="36"/>
  <c r="J226" i="36"/>
  <c r="J233" i="36"/>
  <c r="AZ44" i="1"/>
  <c r="G35" i="38"/>
  <c r="I229" i="36"/>
  <c r="I231" i="36" s="1"/>
  <c r="I159" i="36"/>
  <c r="L129" i="36"/>
  <c r="K145" i="36"/>
  <c r="K180" i="36" s="1"/>
  <c r="K163" i="36"/>
  <c r="J179" i="36"/>
  <c r="J193" i="36" s="1"/>
  <c r="J158" i="36"/>
  <c r="J234" i="36" s="1"/>
  <c r="G152" i="12"/>
  <c r="L216" i="36"/>
  <c r="L213" i="36"/>
  <c r="L217" i="36"/>
  <c r="L58" i="36"/>
  <c r="L214" i="36"/>
  <c r="L206" i="36"/>
  <c r="L56" i="36"/>
  <c r="L55" i="36"/>
  <c r="L205" i="36"/>
  <c r="L208" i="36"/>
  <c r="L196" i="36"/>
  <c r="L199" i="36"/>
  <c r="L37" i="36"/>
  <c r="L36" i="36"/>
  <c r="L209" i="36"/>
  <c r="L197" i="36"/>
  <c r="L200" i="36"/>
  <c r="J176" i="36"/>
  <c r="L128" i="36"/>
  <c r="K144" i="36"/>
  <c r="K162" i="36"/>
  <c r="AO44" i="1"/>
  <c r="Q51" i="1"/>
  <c r="Q45" i="1"/>
  <c r="Q46" i="1" s="1"/>
  <c r="D58" i="12"/>
  <c r="D18" i="12"/>
  <c r="AZ58" i="1"/>
  <c r="S58" i="1"/>
  <c r="AO58" i="1"/>
  <c r="S44" i="1"/>
  <c r="BA56" i="1"/>
  <c r="I58" i="1"/>
  <c r="AP56" i="1"/>
  <c r="T56" i="1"/>
  <c r="BB17" i="1"/>
  <c r="BB19" i="1"/>
  <c r="BA57" i="1"/>
  <c r="AP57" i="1"/>
  <c r="T57" i="1"/>
  <c r="AF17" i="1"/>
  <c r="AF19" i="1"/>
  <c r="AQ17" i="1"/>
  <c r="AQ19" i="1"/>
  <c r="J15" i="1"/>
  <c r="J17" i="1"/>
  <c r="J57" i="1"/>
  <c r="J19" i="1"/>
  <c r="J56" i="1"/>
  <c r="J60" i="1"/>
  <c r="BA60" i="1"/>
  <c r="T60" i="1"/>
  <c r="AP60" i="1"/>
  <c r="H189" i="12"/>
  <c r="G48" i="1"/>
  <c r="G51" i="1" s="1"/>
  <c r="I44" i="1"/>
  <c r="I36" i="48"/>
  <c r="AE44" i="1"/>
  <c r="CI69" i="1"/>
  <c r="CI70" i="1"/>
  <c r="BM67" i="1"/>
  <c r="BM68" i="1"/>
  <c r="G158" i="12"/>
  <c r="H233" i="12"/>
  <c r="H206" i="12" s="1"/>
  <c r="H41" i="12"/>
  <c r="H73" i="12"/>
  <c r="G100" i="12"/>
  <c r="H221" i="28"/>
  <c r="M49" i="36"/>
  <c r="G248" i="12"/>
  <c r="F170" i="12"/>
  <c r="F199" i="12" s="1"/>
  <c r="H219" i="28"/>
  <c r="G122" i="12"/>
  <c r="G136" i="12" s="1"/>
  <c r="I14" i="1"/>
  <c r="H124" i="12"/>
  <c r="H123" i="12"/>
  <c r="G147" i="12"/>
  <c r="H115" i="12"/>
  <c r="H114" i="12"/>
  <c r="H116" i="12"/>
  <c r="H134" i="12" s="1"/>
  <c r="H168" i="12" s="1"/>
  <c r="H197" i="12" s="1"/>
  <c r="H120" i="12"/>
  <c r="H119" i="12"/>
  <c r="H121" i="12"/>
  <c r="G112" i="12"/>
  <c r="I93" i="28"/>
  <c r="I38" i="28"/>
  <c r="I41" i="28" s="1"/>
  <c r="I23" i="28"/>
  <c r="G46" i="12"/>
  <c r="G105" i="12" s="1"/>
  <c r="G46" i="9"/>
  <c r="G36" i="9" s="1"/>
  <c r="H40" i="9"/>
  <c r="H30" i="9" s="1"/>
  <c r="E97" i="12"/>
  <c r="F38" i="12"/>
  <c r="G102" i="12"/>
  <c r="G45" i="12"/>
  <c r="G104" i="12" s="1"/>
  <c r="H25" i="9"/>
  <c r="F70" i="12"/>
  <c r="H38" i="9"/>
  <c r="H28" i="9" s="1"/>
  <c r="H14" i="9"/>
  <c r="G71" i="12"/>
  <c r="G70" i="12" s="1"/>
  <c r="G42" i="12"/>
  <c r="G101" i="12" s="1"/>
  <c r="H39" i="9"/>
  <c r="H29" i="9" s="1"/>
  <c r="G47" i="12"/>
  <c r="G106" i="12" s="1"/>
  <c r="G99" i="12"/>
  <c r="H42" i="9"/>
  <c r="H32" i="9" s="1"/>
  <c r="H41" i="9"/>
  <c r="H31" i="9" s="1"/>
  <c r="G39" i="12"/>
  <c r="J3" i="9"/>
  <c r="I17" i="9"/>
  <c r="H71" i="12" s="1"/>
  <c r="I19" i="9"/>
  <c r="H74" i="12" s="1"/>
  <c r="I11" i="9"/>
  <c r="I43" i="9" s="1"/>
  <c r="I33" i="9" s="1"/>
  <c r="I7" i="9"/>
  <c r="H40" i="12" s="1"/>
  <c r="I8" i="9"/>
  <c r="I21" i="9"/>
  <c r="H76" i="12" s="1"/>
  <c r="I9" i="9"/>
  <c r="I12" i="9"/>
  <c r="I44" i="9" s="1"/>
  <c r="I34" i="9" s="1"/>
  <c r="I6" i="9"/>
  <c r="I18" i="9"/>
  <c r="H72" i="12" s="1"/>
  <c r="I10" i="9"/>
  <c r="H44" i="12" s="1"/>
  <c r="I20" i="9"/>
  <c r="H75" i="12" s="1"/>
  <c r="I13" i="9"/>
  <c r="I45" i="9" s="1"/>
  <c r="I35" i="9" s="1"/>
  <c r="G103" i="12"/>
  <c r="H79" i="12"/>
  <c r="H77" i="12"/>
  <c r="H78" i="12"/>
  <c r="CJ5" i="1"/>
  <c r="CI14" i="1"/>
  <c r="CI48" i="1" s="1"/>
  <c r="CI15" i="1"/>
  <c r="CI49" i="1" s="1"/>
  <c r="CI13" i="1"/>
  <c r="CI38" i="1" s="1"/>
  <c r="AO49" i="1"/>
  <c r="AO48" i="1"/>
  <c r="AZ48" i="1"/>
  <c r="AZ49" i="1"/>
  <c r="CS44" i="1"/>
  <c r="CU5" i="1"/>
  <c r="CT13" i="1"/>
  <c r="CT38" i="1" s="1"/>
  <c r="CT14" i="1"/>
  <c r="CT48" i="1" s="1"/>
  <c r="CT15" i="1"/>
  <c r="CT49" i="1" s="1"/>
  <c r="CH44" i="1"/>
  <c r="CH42" i="1" s="1"/>
  <c r="CH52" i="1" s="1"/>
  <c r="J9" i="1"/>
  <c r="J10" i="1" s="1"/>
  <c r="J18" i="1" s="1"/>
  <c r="J13" i="1"/>
  <c r="J11" i="1"/>
  <c r="BB11" i="1"/>
  <c r="BB10" i="1"/>
  <c r="BB18" i="1" s="1"/>
  <c r="BN5" i="1"/>
  <c r="BM15" i="1"/>
  <c r="BM49" i="1" s="1"/>
  <c r="BM14" i="1"/>
  <c r="BM48" i="1" s="1"/>
  <c r="BM13" i="1"/>
  <c r="BM38" i="1" s="1"/>
  <c r="BM44" i="1" s="1"/>
  <c r="BL61" i="1"/>
  <c r="AQ11" i="1"/>
  <c r="AQ9" i="1"/>
  <c r="AQ10" i="1"/>
  <c r="AQ18" i="1" s="1"/>
  <c r="AF10" i="1"/>
  <c r="AF18" i="1" s="1"/>
  <c r="AF15" i="1"/>
  <c r="AF9" i="1"/>
  <c r="AF13" i="1"/>
  <c r="AF11" i="1"/>
  <c r="AF14" i="1"/>
  <c r="AE23" i="1"/>
  <c r="AE27" i="1"/>
  <c r="AE31" i="1"/>
  <c r="I38" i="48"/>
  <c r="I37" i="48"/>
  <c r="H53" i="35"/>
  <c r="G19" i="38" s="1"/>
  <c r="G33" i="38" s="1"/>
  <c r="K75" i="36"/>
  <c r="K26" i="35"/>
  <c r="I5" i="12"/>
  <c r="I185" i="12" s="1"/>
  <c r="BA38" i="1"/>
  <c r="G13" i="12" s="1"/>
  <c r="AP38" i="1"/>
  <c r="G12" i="12" s="1"/>
  <c r="I43" i="17"/>
  <c r="M43" i="17"/>
  <c r="L43" i="17"/>
  <c r="J43" i="17"/>
  <c r="K43" i="17"/>
  <c r="M44" i="17"/>
  <c r="I44" i="17"/>
  <c r="L44" i="17"/>
  <c r="K44" i="17"/>
  <c r="J44" i="17"/>
  <c r="L42" i="17"/>
  <c r="K42" i="17"/>
  <c r="J42" i="17"/>
  <c r="I42" i="17"/>
  <c r="M42" i="17"/>
  <c r="M37" i="17"/>
  <c r="L37" i="17"/>
  <c r="I37" i="17"/>
  <c r="K37" i="17"/>
  <c r="J37" i="17"/>
  <c r="J32" i="17"/>
  <c r="M32" i="17"/>
  <c r="I32" i="17"/>
  <c r="L32" i="17"/>
  <c r="K32" i="17"/>
  <c r="K39" i="17"/>
  <c r="M39" i="17"/>
  <c r="L39" i="17"/>
  <c r="J39" i="17"/>
  <c r="I39" i="17"/>
  <c r="I45" i="17"/>
  <c r="M45" i="17"/>
  <c r="L45" i="17"/>
  <c r="K45" i="17"/>
  <c r="J45" i="17"/>
  <c r="L34" i="17"/>
  <c r="K34" i="17"/>
  <c r="M34" i="17"/>
  <c r="J34" i="17"/>
  <c r="I34" i="17"/>
  <c r="J40" i="17"/>
  <c r="I40" i="17"/>
  <c r="L40" i="17"/>
  <c r="M40" i="17"/>
  <c r="K40" i="17"/>
  <c r="M46" i="17"/>
  <c r="L46" i="17"/>
  <c r="K46" i="17"/>
  <c r="J46" i="17"/>
  <c r="I46" i="17"/>
  <c r="M36" i="17"/>
  <c r="L36" i="17"/>
  <c r="K36" i="17"/>
  <c r="J36" i="17"/>
  <c r="I36" i="17"/>
  <c r="I33" i="17"/>
  <c r="K33" i="17"/>
  <c r="L33" i="17"/>
  <c r="M33" i="17"/>
  <c r="J33" i="17"/>
  <c r="J31" i="17"/>
  <c r="M31" i="17"/>
  <c r="I31" i="17"/>
  <c r="L31" i="17"/>
  <c r="K31" i="17"/>
  <c r="K35" i="17"/>
  <c r="J35" i="17"/>
  <c r="I35" i="17"/>
  <c r="M35" i="17"/>
  <c r="L35" i="17"/>
  <c r="M41" i="17"/>
  <c r="L41" i="17"/>
  <c r="K41" i="17"/>
  <c r="J41" i="17"/>
  <c r="I41" i="17"/>
  <c r="J38" i="17"/>
  <c r="M38" i="17"/>
  <c r="K38" i="17"/>
  <c r="L38" i="17"/>
  <c r="I38" i="17"/>
  <c r="K207" i="36"/>
  <c r="K210" i="36" s="1"/>
  <c r="K50" i="17"/>
  <c r="J50" i="17"/>
  <c r="I50" i="17"/>
  <c r="L50" i="17"/>
  <c r="M50" i="17"/>
  <c r="L53" i="17"/>
  <c r="K53" i="17"/>
  <c r="M53" i="17"/>
  <c r="J53" i="17"/>
  <c r="I53" i="17"/>
  <c r="J47" i="17"/>
  <c r="I47" i="17"/>
  <c r="K47" i="17"/>
  <c r="M47" i="17"/>
  <c r="L47" i="17"/>
  <c r="M51" i="17"/>
  <c r="L51" i="17"/>
  <c r="K51" i="17"/>
  <c r="J51" i="17"/>
  <c r="I51" i="17"/>
  <c r="I49" i="17"/>
  <c r="M49" i="17"/>
  <c r="L49" i="17"/>
  <c r="K49" i="17"/>
  <c r="J49" i="17"/>
  <c r="M48" i="17"/>
  <c r="L48" i="17"/>
  <c r="K48" i="17"/>
  <c r="J48" i="17"/>
  <c r="I48" i="17"/>
  <c r="I52" i="17"/>
  <c r="M52" i="17"/>
  <c r="L52" i="17"/>
  <c r="K52" i="17"/>
  <c r="J52" i="17"/>
  <c r="J25" i="35"/>
  <c r="K198" i="36"/>
  <c r="K201" i="36" s="1"/>
  <c r="K202" i="36" s="1"/>
  <c r="J22" i="35"/>
  <c r="L52" i="36"/>
  <c r="L50" i="36"/>
  <c r="M5" i="36"/>
  <c r="M54" i="36"/>
  <c r="M48" i="36"/>
  <c r="J3" i="28"/>
  <c r="J19" i="28" s="1"/>
  <c r="BC5" i="1"/>
  <c r="AG5" i="1"/>
  <c r="AR5" i="1"/>
  <c r="K5" i="1"/>
  <c r="K16" i="35"/>
  <c r="K33" i="35"/>
  <c r="L47" i="36"/>
  <c r="D21" i="17"/>
  <c r="D20" i="17"/>
  <c r="D19" i="17"/>
  <c r="D17" i="17"/>
  <c r="D16" i="17"/>
  <c r="D13" i="17"/>
  <c r="D12" i="17"/>
  <c r="D11" i="17"/>
  <c r="D10" i="17"/>
  <c r="D9" i="17"/>
  <c r="D8" i="17"/>
  <c r="DT44" i="34"/>
  <c r="DT50" i="34" s="1"/>
  <c r="DS44" i="34"/>
  <c r="DS50" i="34" s="1"/>
  <c r="DR44" i="34"/>
  <c r="DR50" i="34" s="1"/>
  <c r="DQ44" i="34"/>
  <c r="DQ50" i="34" s="1"/>
  <c r="DP44" i="34"/>
  <c r="DP50" i="34" s="1"/>
  <c r="CX44" i="34"/>
  <c r="CW44" i="34"/>
  <c r="CV44" i="34"/>
  <c r="CU44" i="34"/>
  <c r="CT44" i="34"/>
  <c r="D6" i="17"/>
  <c r="K233" i="36" l="1"/>
  <c r="G52" i="1"/>
  <c r="AP44" i="1"/>
  <c r="J230" i="36"/>
  <c r="J235" i="36"/>
  <c r="K176" i="36"/>
  <c r="J236" i="36"/>
  <c r="BA44" i="1"/>
  <c r="J229" i="36"/>
  <c r="J231" i="36" s="1"/>
  <c r="J159" i="36"/>
  <c r="G174" i="12"/>
  <c r="G182" i="12" s="1"/>
  <c r="K226" i="36"/>
  <c r="H35" i="38"/>
  <c r="F174" i="12"/>
  <c r="F182" i="12" s="1"/>
  <c r="M129" i="36"/>
  <c r="L145" i="36"/>
  <c r="L180" i="36" s="1"/>
  <c r="L163" i="36"/>
  <c r="M216" i="36"/>
  <c r="M213" i="36"/>
  <c r="M217" i="36"/>
  <c r="M58" i="36"/>
  <c r="M214" i="36"/>
  <c r="M208" i="36"/>
  <c r="M196" i="36"/>
  <c r="M205" i="36"/>
  <c r="M206" i="36"/>
  <c r="M56" i="36"/>
  <c r="M36" i="36"/>
  <c r="M209" i="36"/>
  <c r="M197" i="36"/>
  <c r="M199" i="36"/>
  <c r="M37" i="36"/>
  <c r="M200" i="36"/>
  <c r="M55" i="36"/>
  <c r="H152" i="12"/>
  <c r="L215" i="36"/>
  <c r="K179" i="36"/>
  <c r="K193" i="36" s="1"/>
  <c r="K158" i="36"/>
  <c r="K234" i="36" s="1"/>
  <c r="M128" i="36"/>
  <c r="L144" i="36"/>
  <c r="L162" i="36"/>
  <c r="L176" i="36" s="1"/>
  <c r="T44" i="1"/>
  <c r="AG17" i="1"/>
  <c r="AG19" i="1"/>
  <c r="BC17" i="1"/>
  <c r="BC19" i="1"/>
  <c r="BA58" i="1"/>
  <c r="AP58" i="1"/>
  <c r="T58" i="1"/>
  <c r="BB60" i="1"/>
  <c r="AQ60" i="1"/>
  <c r="U60" i="1"/>
  <c r="AQ56" i="1"/>
  <c r="BB56" i="1"/>
  <c r="U56" i="1"/>
  <c r="J58" i="1"/>
  <c r="K15" i="1"/>
  <c r="K17" i="1"/>
  <c r="K57" i="1"/>
  <c r="K19" i="1"/>
  <c r="K56" i="1"/>
  <c r="K60" i="1"/>
  <c r="AQ57" i="1"/>
  <c r="BB57" i="1"/>
  <c r="U57" i="1"/>
  <c r="AR17" i="1"/>
  <c r="AR19" i="1"/>
  <c r="Q53" i="1"/>
  <c r="D26" i="12"/>
  <c r="D85" i="12" s="1"/>
  <c r="I189" i="12"/>
  <c r="J44" i="1"/>
  <c r="AF44" i="1"/>
  <c r="BN67" i="1"/>
  <c r="BN68" i="1"/>
  <c r="CJ70" i="1"/>
  <c r="CJ69" i="1"/>
  <c r="H158" i="12"/>
  <c r="I233" i="12"/>
  <c r="I206" i="12" s="1"/>
  <c r="I73" i="12"/>
  <c r="I41" i="12"/>
  <c r="H100" i="12"/>
  <c r="I221" i="28"/>
  <c r="N49" i="36"/>
  <c r="H248" i="12"/>
  <c r="G170" i="12"/>
  <c r="G199" i="12" s="1"/>
  <c r="I219" i="28"/>
  <c r="H122" i="12"/>
  <c r="H136" i="12" s="1"/>
  <c r="J36" i="48"/>
  <c r="J14" i="1"/>
  <c r="I124" i="12"/>
  <c r="I123" i="12"/>
  <c r="H147" i="12"/>
  <c r="I114" i="12"/>
  <c r="I115" i="12"/>
  <c r="I116" i="12"/>
  <c r="I134" i="12" s="1"/>
  <c r="I168" i="12" s="1"/>
  <c r="I197" i="12" s="1"/>
  <c r="I119" i="12"/>
  <c r="I121" i="12"/>
  <c r="I120" i="12"/>
  <c r="H112" i="12"/>
  <c r="J93" i="28"/>
  <c r="J38" i="28"/>
  <c r="J41" i="28" s="1"/>
  <c r="J23" i="28"/>
  <c r="F97" i="12"/>
  <c r="H47" i="12"/>
  <c r="H106" i="12" s="1"/>
  <c r="I40" i="9"/>
  <c r="I30" i="9" s="1"/>
  <c r="G98" i="12"/>
  <c r="G38" i="12"/>
  <c r="G97" i="12" s="1"/>
  <c r="H45" i="12"/>
  <c r="H104" i="12" s="1"/>
  <c r="H46" i="9"/>
  <c r="H36" i="9" s="1"/>
  <c r="I41" i="9"/>
  <c r="I31" i="9" s="1"/>
  <c r="I25" i="9"/>
  <c r="H46" i="12"/>
  <c r="H105" i="12" s="1"/>
  <c r="I38" i="9"/>
  <c r="I28" i="9" s="1"/>
  <c r="I14" i="9"/>
  <c r="H42" i="12"/>
  <c r="H101" i="12" s="1"/>
  <c r="I39" i="9"/>
  <c r="I29" i="9" s="1"/>
  <c r="H99" i="12"/>
  <c r="H39" i="12"/>
  <c r="H98" i="12" s="1"/>
  <c r="H103" i="12"/>
  <c r="H43" i="12"/>
  <c r="H102" i="12" s="1"/>
  <c r="K3" i="9"/>
  <c r="J7" i="9"/>
  <c r="I40" i="12" s="1"/>
  <c r="J17" i="9"/>
  <c r="I71" i="12" s="1"/>
  <c r="J20" i="9"/>
  <c r="I75" i="12" s="1"/>
  <c r="J12" i="9"/>
  <c r="J44" i="9" s="1"/>
  <c r="J34" i="9" s="1"/>
  <c r="J8" i="9"/>
  <c r="I42" i="12" s="1"/>
  <c r="J6" i="9"/>
  <c r="I39" i="12" s="1"/>
  <c r="J18" i="9"/>
  <c r="I72" i="12" s="1"/>
  <c r="J10" i="9"/>
  <c r="J11" i="9"/>
  <c r="J43" i="9" s="1"/>
  <c r="J33" i="9" s="1"/>
  <c r="J21" i="9"/>
  <c r="I76" i="12" s="1"/>
  <c r="J9" i="9"/>
  <c r="I43" i="12" s="1"/>
  <c r="J19" i="9"/>
  <c r="I74" i="12" s="1"/>
  <c r="J13" i="9"/>
  <c r="J45" i="9" s="1"/>
  <c r="J35" i="9" s="1"/>
  <c r="I42" i="9"/>
  <c r="I32" i="9" s="1"/>
  <c r="I77" i="12"/>
  <c r="I78" i="12"/>
  <c r="I79" i="12"/>
  <c r="H70" i="12"/>
  <c r="BA48" i="1"/>
  <c r="BA49" i="1"/>
  <c r="CT44" i="1"/>
  <c r="CV5" i="1"/>
  <c r="CU13" i="1"/>
  <c r="CU38" i="1" s="1"/>
  <c r="CU14" i="1"/>
  <c r="CU48" i="1" s="1"/>
  <c r="CU15" i="1"/>
  <c r="CU49" i="1" s="1"/>
  <c r="CS42" i="1"/>
  <c r="CS61" i="1"/>
  <c r="CH51" i="1"/>
  <c r="G32" i="12" s="1"/>
  <c r="G64" i="12"/>
  <c r="CH45" i="1"/>
  <c r="CI44" i="1"/>
  <c r="CH61" i="1"/>
  <c r="AP49" i="1"/>
  <c r="AP48" i="1"/>
  <c r="BL42" i="1"/>
  <c r="BL52" i="1" s="1"/>
  <c r="CK5" i="1"/>
  <c r="CJ15" i="1"/>
  <c r="CJ49" i="1" s="1"/>
  <c r="CJ14" i="1"/>
  <c r="CJ48" i="1" s="1"/>
  <c r="CJ13" i="1"/>
  <c r="CJ38" i="1" s="1"/>
  <c r="K9" i="1"/>
  <c r="K10" i="1" s="1"/>
  <c r="K18" i="1" s="1"/>
  <c r="K11" i="1"/>
  <c r="K13" i="1"/>
  <c r="AR9" i="1"/>
  <c r="AR11" i="1"/>
  <c r="AR10" i="1"/>
  <c r="AR18" i="1" s="1"/>
  <c r="AG15" i="1"/>
  <c r="AG9" i="1"/>
  <c r="AG10" i="1"/>
  <c r="AG18" i="1" s="1"/>
  <c r="AG13" i="1"/>
  <c r="AG11" i="1"/>
  <c r="AG14" i="1"/>
  <c r="BM61" i="1"/>
  <c r="BC10" i="1"/>
  <c r="BC18" i="1" s="1"/>
  <c r="BC11" i="1"/>
  <c r="BO5" i="1"/>
  <c r="BN14" i="1"/>
  <c r="BN48" i="1" s="1"/>
  <c r="BN15" i="1"/>
  <c r="BN49" i="1" s="1"/>
  <c r="BN13" i="1"/>
  <c r="BN38" i="1" s="1"/>
  <c r="BN44" i="1" s="1"/>
  <c r="AF31" i="1"/>
  <c r="AF23" i="1"/>
  <c r="AF27" i="1"/>
  <c r="J38" i="48"/>
  <c r="J37" i="48"/>
  <c r="I53" i="35"/>
  <c r="H19" i="38" s="1"/>
  <c r="H33" i="38" s="1"/>
  <c r="L75" i="36"/>
  <c r="L26" i="35"/>
  <c r="J5" i="12"/>
  <c r="J185" i="12" s="1"/>
  <c r="AQ38" i="1"/>
  <c r="H12" i="12" s="1"/>
  <c r="BB38" i="1"/>
  <c r="H13" i="12" s="1"/>
  <c r="L207" i="36"/>
  <c r="L210" i="36" s="1"/>
  <c r="K25" i="35"/>
  <c r="L198" i="36"/>
  <c r="L201" i="36" s="1"/>
  <c r="L202" i="36" s="1"/>
  <c r="K22" i="35"/>
  <c r="M50" i="36"/>
  <c r="N5" i="36"/>
  <c r="M52" i="36"/>
  <c r="N54" i="36"/>
  <c r="O54" i="36" s="1"/>
  <c r="N48" i="36"/>
  <c r="O48" i="36" s="1"/>
  <c r="K3" i="28"/>
  <c r="K19" i="28" s="1"/>
  <c r="AH5" i="1"/>
  <c r="BD5" i="1"/>
  <c r="AS5" i="1"/>
  <c r="L5" i="1"/>
  <c r="L16" i="35"/>
  <c r="M16" i="35" s="1"/>
  <c r="N16" i="35" s="1"/>
  <c r="D18" i="17"/>
  <c r="D7" i="17"/>
  <c r="D15" i="17"/>
  <c r="G32" i="17"/>
  <c r="D14" i="17"/>
  <c r="L33" i="35"/>
  <c r="M47" i="36"/>
  <c r="BO44" i="34"/>
  <c r="BM44" i="34"/>
  <c r="BQ44" i="34"/>
  <c r="BN44" i="34"/>
  <c r="BP44" i="34"/>
  <c r="L233" i="36" l="1"/>
  <c r="I35" i="38"/>
  <c r="K230" i="36"/>
  <c r="K235" i="36"/>
  <c r="K236" i="36" s="1"/>
  <c r="L230" i="36"/>
  <c r="L235" i="36"/>
  <c r="K229" i="36"/>
  <c r="K231" i="36" s="1"/>
  <c r="K159" i="36"/>
  <c r="L226" i="36"/>
  <c r="I152" i="12"/>
  <c r="N217" i="36"/>
  <c r="N214" i="36"/>
  <c r="N216" i="36"/>
  <c r="N58" i="36"/>
  <c r="N213" i="36"/>
  <c r="N215" i="36" s="1"/>
  <c r="N129" i="36"/>
  <c r="N128" i="36"/>
  <c r="N208" i="36"/>
  <c r="N196" i="36"/>
  <c r="N36" i="36"/>
  <c r="N206" i="36"/>
  <c r="N56" i="36"/>
  <c r="N209" i="36"/>
  <c r="N197" i="36"/>
  <c r="N200" i="36"/>
  <c r="N199" i="36"/>
  <c r="N37" i="36"/>
  <c r="N55" i="36"/>
  <c r="N205" i="36"/>
  <c r="H174" i="12"/>
  <c r="H182" i="12" s="1"/>
  <c r="L158" i="36"/>
  <c r="L234" i="36" s="1"/>
  <c r="L236" i="36" s="1"/>
  <c r="L179" i="36"/>
  <c r="L193" i="36" s="1"/>
  <c r="M215" i="36"/>
  <c r="M144" i="36"/>
  <c r="M162" i="36"/>
  <c r="M145" i="36"/>
  <c r="M180" i="36" s="1"/>
  <c r="M163" i="36"/>
  <c r="AQ44" i="1"/>
  <c r="BB44" i="1"/>
  <c r="L15" i="1"/>
  <c r="L17" i="1"/>
  <c r="L57" i="1"/>
  <c r="L19" i="1"/>
  <c r="L56" i="1"/>
  <c r="L60" i="1"/>
  <c r="AS17" i="1"/>
  <c r="AS19" i="1"/>
  <c r="AR56" i="1"/>
  <c r="V56" i="1"/>
  <c r="BC56" i="1"/>
  <c r="K58" i="1"/>
  <c r="BD17" i="1"/>
  <c r="BD19" i="1"/>
  <c r="AH17" i="1"/>
  <c r="AH19" i="1"/>
  <c r="AR57" i="1"/>
  <c r="BC57" i="1"/>
  <c r="V57" i="1"/>
  <c r="BC60" i="1"/>
  <c r="AR60" i="1"/>
  <c r="V60" i="1"/>
  <c r="BB58" i="1"/>
  <c r="U58" i="1"/>
  <c r="AQ58" i="1"/>
  <c r="U44" i="1"/>
  <c r="J189" i="12"/>
  <c r="AG44" i="1"/>
  <c r="I158" i="12"/>
  <c r="K44" i="1"/>
  <c r="BO67" i="1"/>
  <c r="BO68" i="1"/>
  <c r="CK69" i="1"/>
  <c r="CK70" i="1"/>
  <c r="I100" i="12"/>
  <c r="J233" i="12"/>
  <c r="J206" i="12" s="1"/>
  <c r="J41" i="12"/>
  <c r="J73" i="12"/>
  <c r="J221" i="28"/>
  <c r="O49" i="36"/>
  <c r="I248" i="12"/>
  <c r="H170" i="12"/>
  <c r="H199" i="12" s="1"/>
  <c r="I112" i="12"/>
  <c r="J219" i="28"/>
  <c r="K36" i="48"/>
  <c r="I122" i="12"/>
  <c r="I136" i="12" s="1"/>
  <c r="K14" i="1"/>
  <c r="J124" i="12"/>
  <c r="J123" i="12"/>
  <c r="I147" i="12"/>
  <c r="J114" i="12"/>
  <c r="J115" i="12"/>
  <c r="J116" i="12"/>
  <c r="J134" i="12" s="1"/>
  <c r="J168" i="12" s="1"/>
  <c r="J197" i="12" s="1"/>
  <c r="J119" i="12"/>
  <c r="J120" i="12"/>
  <c r="J121" i="12"/>
  <c r="K93" i="28"/>
  <c r="K38" i="28"/>
  <c r="K41" i="28" s="1"/>
  <c r="K23" i="28"/>
  <c r="I8" i="48"/>
  <c r="I46" i="9"/>
  <c r="I36" i="9" s="1"/>
  <c r="I102" i="12"/>
  <c r="I47" i="12"/>
  <c r="I106" i="12" s="1"/>
  <c r="I46" i="12"/>
  <c r="I105" i="12" s="1"/>
  <c r="L3" i="9"/>
  <c r="K20" i="9"/>
  <c r="J75" i="12" s="1"/>
  <c r="K12" i="9"/>
  <c r="K44" i="9" s="1"/>
  <c r="K34" i="9" s="1"/>
  <c r="K8" i="9"/>
  <c r="J42" i="12" s="1"/>
  <c r="K21" i="9"/>
  <c r="J76" i="12" s="1"/>
  <c r="K9" i="9"/>
  <c r="K17" i="9"/>
  <c r="J71" i="12" s="1"/>
  <c r="K6" i="9"/>
  <c r="K18" i="9"/>
  <c r="J72" i="12" s="1"/>
  <c r="K10" i="9"/>
  <c r="K13" i="9"/>
  <c r="J47" i="12" s="1"/>
  <c r="K19" i="9"/>
  <c r="J74" i="12" s="1"/>
  <c r="K11" i="9"/>
  <c r="K43" i="9" s="1"/>
  <c r="K33" i="9" s="1"/>
  <c r="K7" i="9"/>
  <c r="J40" i="12" s="1"/>
  <c r="H38" i="12"/>
  <c r="H97" i="12" s="1"/>
  <c r="J42" i="9"/>
  <c r="J32" i="9" s="1"/>
  <c r="I44" i="12"/>
  <c r="I103" i="12" s="1"/>
  <c r="J38" i="9"/>
  <c r="J28" i="9" s="1"/>
  <c r="J14" i="9"/>
  <c r="I101" i="12"/>
  <c r="J40" i="9"/>
  <c r="J30" i="9" s="1"/>
  <c r="I99" i="12"/>
  <c r="J41" i="9"/>
  <c r="J31" i="9" s="1"/>
  <c r="I45" i="12"/>
  <c r="I104" i="12" s="1"/>
  <c r="J25" i="9"/>
  <c r="I70" i="12"/>
  <c r="I98" i="12"/>
  <c r="J39" i="9"/>
  <c r="J29" i="9" s="1"/>
  <c r="J77" i="12"/>
  <c r="J78" i="12"/>
  <c r="J79" i="12"/>
  <c r="G91" i="12"/>
  <c r="BL45" i="1"/>
  <c r="BL51" i="1"/>
  <c r="G63" i="12"/>
  <c r="CJ44" i="1"/>
  <c r="CJ61" i="1" s="1"/>
  <c r="CH53" i="1"/>
  <c r="BB48" i="1"/>
  <c r="BB49" i="1"/>
  <c r="CL5" i="1"/>
  <c r="CK15" i="1"/>
  <c r="CK49" i="1" s="1"/>
  <c r="CK13" i="1"/>
  <c r="CK38" i="1" s="1"/>
  <c r="CK14" i="1"/>
  <c r="CK48" i="1" s="1"/>
  <c r="CS45" i="1"/>
  <c r="CS51" i="1"/>
  <c r="G33" i="12" s="1"/>
  <c r="CS52" i="1"/>
  <c r="G65" i="12" s="1"/>
  <c r="AQ49" i="1"/>
  <c r="AQ48" i="1"/>
  <c r="CU44" i="1"/>
  <c r="CU61" i="1" s="1"/>
  <c r="CW5" i="1"/>
  <c r="CV13" i="1"/>
  <c r="CV38" i="1" s="1"/>
  <c r="CV14" i="1"/>
  <c r="CV48" i="1" s="1"/>
  <c r="CV15" i="1"/>
  <c r="CV49" i="1" s="1"/>
  <c r="CI42" i="1"/>
  <c r="CI52" i="1" s="1"/>
  <c r="CI61" i="1"/>
  <c r="CT42" i="1"/>
  <c r="CT61" i="1"/>
  <c r="BM42" i="1"/>
  <c r="L9" i="1"/>
  <c r="L10" i="1" s="1"/>
  <c r="L18" i="1" s="1"/>
  <c r="L11" i="1"/>
  <c r="L13" i="1"/>
  <c r="BP5" i="1"/>
  <c r="BO15" i="1"/>
  <c r="BO49" i="1" s="1"/>
  <c r="BO14" i="1"/>
  <c r="BO48" i="1" s="1"/>
  <c r="BO13" i="1"/>
  <c r="BO38" i="1" s="1"/>
  <c r="BO44" i="1" s="1"/>
  <c r="AS9" i="1"/>
  <c r="AS11" i="1"/>
  <c r="AS10" i="1"/>
  <c r="AS18" i="1" s="1"/>
  <c r="BD11" i="1"/>
  <c r="BD10" i="1"/>
  <c r="BD18" i="1" s="1"/>
  <c r="AH9" i="1"/>
  <c r="AH11" i="1"/>
  <c r="AH10" i="1"/>
  <c r="AH18" i="1" s="1"/>
  <c r="AH13" i="1"/>
  <c r="AH15" i="1"/>
  <c r="AH14" i="1"/>
  <c r="BN61" i="1"/>
  <c r="AG31" i="1"/>
  <c r="AG27" i="1"/>
  <c r="AG23" i="1"/>
  <c r="K38" i="48"/>
  <c r="K37" i="48"/>
  <c r="J53" i="35"/>
  <c r="I19" i="38" s="1"/>
  <c r="I33" i="38" s="1"/>
  <c r="M75" i="36"/>
  <c r="M26" i="35"/>
  <c r="K5" i="12"/>
  <c r="K185" i="12" s="1"/>
  <c r="AR38" i="1"/>
  <c r="I12" i="12" s="1"/>
  <c r="BC38" i="1"/>
  <c r="I13" i="12" s="1"/>
  <c r="AI5" i="1"/>
  <c r="M198" i="36"/>
  <c r="M201" i="36" s="1"/>
  <c r="M202" i="36" s="1"/>
  <c r="M5" i="1"/>
  <c r="AT5" i="1"/>
  <c r="BE5" i="1"/>
  <c r="M207" i="36"/>
  <c r="M210" i="36" s="1"/>
  <c r="L25" i="35"/>
  <c r="O5" i="36"/>
  <c r="N52" i="36"/>
  <c r="O52" i="36" s="1"/>
  <c r="L22" i="35"/>
  <c r="N50" i="36"/>
  <c r="J158" i="12" s="1"/>
  <c r="L3" i="28"/>
  <c r="L19" i="28" s="1"/>
  <c r="H40" i="17"/>
  <c r="E36" i="17"/>
  <c r="D42" i="17"/>
  <c r="F42" i="17"/>
  <c r="H31" i="17"/>
  <c r="E38" i="17"/>
  <c r="D44" i="17"/>
  <c r="F44" i="17"/>
  <c r="F43" i="17"/>
  <c r="H46" i="17"/>
  <c r="F40" i="17"/>
  <c r="D39" i="17"/>
  <c r="D45" i="17"/>
  <c r="E34" i="17"/>
  <c r="E44" i="17"/>
  <c r="F35" i="17"/>
  <c r="F45" i="17"/>
  <c r="E37" i="17"/>
  <c r="H36" i="17"/>
  <c r="D37" i="17"/>
  <c r="E42" i="17"/>
  <c r="F34" i="17"/>
  <c r="G33" i="17"/>
  <c r="D43" i="17"/>
  <c r="E46" i="17"/>
  <c r="G41" i="17"/>
  <c r="G40" i="17"/>
  <c r="E39" i="17"/>
  <c r="H35" i="17"/>
  <c r="H39" i="17"/>
  <c r="G38" i="17"/>
  <c r="H43" i="17"/>
  <c r="E41" i="17"/>
  <c r="D34" i="17"/>
  <c r="E35" i="17"/>
  <c r="G39" i="17"/>
  <c r="H37" i="17"/>
  <c r="G37" i="17"/>
  <c r="G36" i="17"/>
  <c r="CM44" i="34"/>
  <c r="CM50" i="34" s="1"/>
  <c r="D32" i="17"/>
  <c r="E33" i="17"/>
  <c r="G46" i="17"/>
  <c r="G44" i="17"/>
  <c r="H45" i="17"/>
  <c r="N47" i="36"/>
  <c r="E48" i="17"/>
  <c r="H50" i="17"/>
  <c r="H47" i="17"/>
  <c r="D47" i="17"/>
  <c r="E50" i="17"/>
  <c r="H48" i="17"/>
  <c r="E52" i="17"/>
  <c r="G51" i="17"/>
  <c r="F49" i="17"/>
  <c r="G53" i="17"/>
  <c r="D52" i="17"/>
  <c r="H51" i="17"/>
  <c r="D51" i="17"/>
  <c r="F48" i="17"/>
  <c r="D49" i="17"/>
  <c r="CJ44" i="34"/>
  <c r="CJ50" i="34" s="1"/>
  <c r="H32" i="17"/>
  <c r="CK44" i="34"/>
  <c r="CK50" i="34" s="1"/>
  <c r="F31" i="17"/>
  <c r="CI44" i="34"/>
  <c r="CI50" i="34" s="1"/>
  <c r="CL44" i="34"/>
  <c r="CL50" i="34" s="1"/>
  <c r="G31" i="17"/>
  <c r="DT44" i="27"/>
  <c r="DS44" i="27"/>
  <c r="DR44" i="27"/>
  <c r="DQ44" i="27"/>
  <c r="DP44" i="27"/>
  <c r="BQ43" i="27"/>
  <c r="BP43" i="27"/>
  <c r="BO43" i="27"/>
  <c r="CK43" i="27" s="1"/>
  <c r="BN43" i="27"/>
  <c r="BM43" i="27"/>
  <c r="CI43" i="27" s="1"/>
  <c r="BQ42" i="27"/>
  <c r="DI42" i="27" s="1"/>
  <c r="EE42" i="27" s="1"/>
  <c r="FW42" i="27" s="1"/>
  <c r="BP42" i="27"/>
  <c r="BO42" i="27"/>
  <c r="CK42" i="27" s="1"/>
  <c r="DG42" i="27" s="1"/>
  <c r="BN42" i="27"/>
  <c r="CJ42" i="27" s="1"/>
  <c r="DF42" i="27" s="1"/>
  <c r="CI42" i="27"/>
  <c r="BQ41" i="27"/>
  <c r="BP41" i="27"/>
  <c r="BO41" i="27"/>
  <c r="CK41" i="27" s="1"/>
  <c r="DG41" i="27" s="1"/>
  <c r="BN41" i="27"/>
  <c r="CJ41" i="27" s="1"/>
  <c r="DF41" i="27" s="1"/>
  <c r="CI41" i="27"/>
  <c r="BQ40" i="27"/>
  <c r="DI40" i="27" s="1"/>
  <c r="EE40" i="27" s="1"/>
  <c r="FW40" i="27" s="1"/>
  <c r="BP40" i="27"/>
  <c r="BO40" i="27"/>
  <c r="BN40" i="27"/>
  <c r="CI40" i="27"/>
  <c r="BQ39" i="27"/>
  <c r="BP39" i="27"/>
  <c r="BO39" i="27"/>
  <c r="BN39" i="27"/>
  <c r="CI39" i="27"/>
  <c r="BQ38" i="27"/>
  <c r="BP38" i="27"/>
  <c r="BO38" i="27"/>
  <c r="BN38" i="27"/>
  <c r="CI38" i="27"/>
  <c r="BQ37" i="27"/>
  <c r="BP37" i="27"/>
  <c r="BO37" i="27"/>
  <c r="BN37" i="27"/>
  <c r="CI37" i="27"/>
  <c r="BQ36" i="27"/>
  <c r="BP36" i="27"/>
  <c r="BO36" i="27"/>
  <c r="BN36" i="27"/>
  <c r="CI36" i="27"/>
  <c r="BQ35" i="27"/>
  <c r="BP35" i="27"/>
  <c r="BO35" i="27"/>
  <c r="BN35" i="27"/>
  <c r="CI35" i="27"/>
  <c r="BQ34" i="27"/>
  <c r="BP34" i="27"/>
  <c r="BO34" i="27"/>
  <c r="BN34" i="27"/>
  <c r="BQ33" i="27"/>
  <c r="BP33" i="27"/>
  <c r="BO33" i="27"/>
  <c r="BN33" i="27"/>
  <c r="CL43" i="27"/>
  <c r="CL41" i="27"/>
  <c r="DH41" i="27" s="1"/>
  <c r="BC44" i="1" l="1"/>
  <c r="L229" i="36"/>
  <c r="L231" i="36" s="1"/>
  <c r="L159" i="36"/>
  <c r="J35" i="38"/>
  <c r="N144" i="36"/>
  <c r="N162" i="36"/>
  <c r="N145" i="36"/>
  <c r="N180" i="36" s="1"/>
  <c r="N163" i="36"/>
  <c r="M176" i="36"/>
  <c r="M230" i="36" s="1"/>
  <c r="M179" i="36"/>
  <c r="M193" i="36" s="1"/>
  <c r="M158" i="36"/>
  <c r="O217" i="36"/>
  <c r="O216" i="36"/>
  <c r="O58" i="36"/>
  <c r="O213" i="36"/>
  <c r="O214" i="36"/>
  <c r="O129" i="36"/>
  <c r="O128" i="36"/>
  <c r="O36" i="36"/>
  <c r="O209" i="36"/>
  <c r="O197" i="36"/>
  <c r="O206" i="36"/>
  <c r="O56" i="36"/>
  <c r="O208" i="36"/>
  <c r="O196" i="36"/>
  <c r="O55" i="36"/>
  <c r="O199" i="36"/>
  <c r="O37" i="36"/>
  <c r="O200" i="36"/>
  <c r="O205" i="36"/>
  <c r="AR44" i="1"/>
  <c r="BC58" i="1"/>
  <c r="V58" i="1"/>
  <c r="AR58" i="1"/>
  <c r="V44" i="1"/>
  <c r="AS60" i="1"/>
  <c r="W60" i="1"/>
  <c r="BD60" i="1"/>
  <c r="BE17" i="1"/>
  <c r="BE19" i="1"/>
  <c r="AS56" i="1"/>
  <c r="BD56" i="1"/>
  <c r="L58" i="1"/>
  <c r="W56" i="1"/>
  <c r="AT17" i="1"/>
  <c r="AT19" i="1"/>
  <c r="M15" i="1"/>
  <c r="M17" i="1"/>
  <c r="M57" i="1"/>
  <c r="M19" i="1"/>
  <c r="M56" i="1"/>
  <c r="M60" i="1"/>
  <c r="BD57" i="1"/>
  <c r="AS57" i="1"/>
  <c r="W57" i="1"/>
  <c r="AI17" i="1"/>
  <c r="AI19" i="1"/>
  <c r="K189" i="12"/>
  <c r="AH44" i="1"/>
  <c r="L44" i="1"/>
  <c r="BP68" i="1"/>
  <c r="BP67" i="1"/>
  <c r="CL69" i="1"/>
  <c r="CL70" i="1"/>
  <c r="DE30" i="27"/>
  <c r="EA30" i="27" s="1"/>
  <c r="FS30" i="27" s="1"/>
  <c r="DE40" i="27"/>
  <c r="EA40" i="27"/>
  <c r="FS40" i="27" s="1"/>
  <c r="DE38" i="27"/>
  <c r="EA38" i="27"/>
  <c r="FS38" i="27" s="1"/>
  <c r="DE36" i="27"/>
  <c r="EA36" i="27"/>
  <c r="FS36" i="27" s="1"/>
  <c r="EA37" i="27"/>
  <c r="FS37" i="27" s="1"/>
  <c r="DE41" i="27"/>
  <c r="EA41" i="27"/>
  <c r="FS41" i="27" s="1"/>
  <c r="DE39" i="27"/>
  <c r="EA39" i="27"/>
  <c r="FS39" i="27" s="1"/>
  <c r="DE28" i="27"/>
  <c r="EA28" i="27" s="1"/>
  <c r="FS28" i="27" s="1"/>
  <c r="DE25" i="27"/>
  <c r="EA25" i="27" s="1"/>
  <c r="FS25" i="27" s="1"/>
  <c r="DF37" i="27"/>
  <c r="EB37" i="27"/>
  <c r="FT37" i="27" s="1"/>
  <c r="DH39" i="27"/>
  <c r="ED39" i="27"/>
  <c r="FV39" i="27" s="1"/>
  <c r="DH34" i="27"/>
  <c r="ED34" i="27" s="1"/>
  <c r="FV34" i="27" s="1"/>
  <c r="DG25" i="27"/>
  <c r="EC25" i="27"/>
  <c r="FU25" i="27" s="1"/>
  <c r="DI27" i="27"/>
  <c r="EE27" i="27" s="1"/>
  <c r="FW27" i="27" s="1"/>
  <c r="DH32" i="27"/>
  <c r="ED32" i="27" s="1"/>
  <c r="FV32" i="27" s="1"/>
  <c r="DF32" i="27"/>
  <c r="EB32" i="27" s="1"/>
  <c r="FT32" i="27" s="1"/>
  <c r="DI32" i="27"/>
  <c r="EE32" i="27"/>
  <c r="FW32" i="27" s="1"/>
  <c r="DH37" i="27"/>
  <c r="ED37" i="27" s="1"/>
  <c r="FV37" i="27" s="1"/>
  <c r="DH30" i="27"/>
  <c r="ED30" i="27" s="1"/>
  <c r="FV30" i="27" s="1"/>
  <c r="DI37" i="27"/>
  <c r="EE37" i="27"/>
  <c r="FW37" i="27" s="1"/>
  <c r="DG28" i="27"/>
  <c r="EC28" i="27" s="1"/>
  <c r="FU28" i="27" s="1"/>
  <c r="DF33" i="27"/>
  <c r="EB33" i="27" s="1"/>
  <c r="FT33" i="27" s="1"/>
  <c r="DH25" i="27"/>
  <c r="ED25" i="27" s="1"/>
  <c r="FV25" i="27" s="1"/>
  <c r="DI23" i="27"/>
  <c r="EE23" i="27" s="1"/>
  <c r="FW23" i="27" s="1"/>
  <c r="DF38" i="27"/>
  <c r="EB38" i="27" s="1"/>
  <c r="FT38" i="27" s="1"/>
  <c r="DF23" i="27"/>
  <c r="EB23" i="27"/>
  <c r="FT23" i="27" s="1"/>
  <c r="DH23" i="27"/>
  <c r="ED23" i="27" s="1"/>
  <c r="FV23" i="27" s="1"/>
  <c r="DF31" i="27"/>
  <c r="EB31" i="27"/>
  <c r="FT31" i="27" s="1"/>
  <c r="DH33" i="27"/>
  <c r="ED33" i="27"/>
  <c r="FV33" i="27" s="1"/>
  <c r="DG31" i="27"/>
  <c r="EC31" i="27" s="1"/>
  <c r="FU31" i="27" s="1"/>
  <c r="DF28" i="27"/>
  <c r="EB28" i="27" s="1"/>
  <c r="FT28" i="27" s="1"/>
  <c r="DG26" i="27"/>
  <c r="EC26" i="27" s="1"/>
  <c r="FU26" i="27" s="1"/>
  <c r="DH31" i="27"/>
  <c r="ED31" i="27" s="1"/>
  <c r="FV31" i="27" s="1"/>
  <c r="DG36" i="27"/>
  <c r="EC36" i="27" s="1"/>
  <c r="FU36" i="27" s="1"/>
  <c r="DF25" i="27"/>
  <c r="EB25" i="27" s="1"/>
  <c r="FT25" i="27" s="1"/>
  <c r="DI25" i="27"/>
  <c r="EE25" i="27"/>
  <c r="FW25" i="27" s="1"/>
  <c r="DF24" i="27"/>
  <c r="EB24" i="27" s="1"/>
  <c r="FT24" i="27" s="1"/>
  <c r="DI26" i="27"/>
  <c r="EE26" i="27" s="1"/>
  <c r="FW26" i="27" s="1"/>
  <c r="DH24" i="27"/>
  <c r="ED24" i="27" s="1"/>
  <c r="FV24" i="27" s="1"/>
  <c r="DG29" i="27"/>
  <c r="EC29" i="27" s="1"/>
  <c r="FU29" i="27" s="1"/>
  <c r="DI34" i="27"/>
  <c r="EE34" i="27" s="1"/>
  <c r="FW34" i="27" s="1"/>
  <c r="DI28" i="27"/>
  <c r="EE28" i="27" s="1"/>
  <c r="FW28" i="27" s="1"/>
  <c r="DG24" i="27"/>
  <c r="EC24" i="27"/>
  <c r="FU24" i="27" s="1"/>
  <c r="DI24" i="27"/>
  <c r="EE24" i="27" s="1"/>
  <c r="FW24" i="27" s="1"/>
  <c r="DF27" i="27"/>
  <c r="EB27" i="27" s="1"/>
  <c r="FT27" i="27" s="1"/>
  <c r="DH29" i="27"/>
  <c r="ED29" i="27"/>
  <c r="FV29" i="27" s="1"/>
  <c r="DG34" i="27"/>
  <c r="EC34" i="27" s="1"/>
  <c r="FU34" i="27" s="1"/>
  <c r="DI36" i="27"/>
  <c r="EE36" i="27" s="1"/>
  <c r="FW36" i="27" s="1"/>
  <c r="DF39" i="27"/>
  <c r="EB39" i="27" s="1"/>
  <c r="FT39" i="27" s="1"/>
  <c r="J152" i="12"/>
  <c r="K152" i="12"/>
  <c r="BM45" i="1"/>
  <c r="BM46" i="1" s="1"/>
  <c r="BM52" i="1"/>
  <c r="H63" i="12" s="1"/>
  <c r="K233" i="12"/>
  <c r="K206" i="12" s="1"/>
  <c r="K73" i="12"/>
  <c r="K41" i="12"/>
  <c r="J100" i="12"/>
  <c r="K221" i="28"/>
  <c r="J248" i="12"/>
  <c r="I170" i="12"/>
  <c r="I199" i="12" s="1"/>
  <c r="K219" i="28"/>
  <c r="L14" i="1"/>
  <c r="L36" i="48"/>
  <c r="J122" i="12"/>
  <c r="J136" i="12" s="1"/>
  <c r="G62" i="12"/>
  <c r="K124" i="12"/>
  <c r="K123" i="12"/>
  <c r="J147" i="12"/>
  <c r="K116" i="12"/>
  <c r="K134" i="12" s="1"/>
  <c r="K168" i="12" s="1"/>
  <c r="K197" i="12" s="1"/>
  <c r="K115" i="12"/>
  <c r="K114" i="12"/>
  <c r="K119" i="12"/>
  <c r="K120" i="12"/>
  <c r="K121" i="12"/>
  <c r="J112" i="12"/>
  <c r="L93" i="28"/>
  <c r="L38" i="28"/>
  <c r="L41" i="28" s="1"/>
  <c r="L23" i="28"/>
  <c r="D4" i="60" s="1"/>
  <c r="J46" i="12"/>
  <c r="J105" i="12" s="1"/>
  <c r="J45" i="12"/>
  <c r="J104" i="12" s="1"/>
  <c r="K41" i="9"/>
  <c r="K31" i="9" s="1"/>
  <c r="K38" i="9"/>
  <c r="K28" i="9" s="1"/>
  <c r="J43" i="12"/>
  <c r="J102" i="12" s="1"/>
  <c r="J46" i="9"/>
  <c r="J36" i="9" s="1"/>
  <c r="J39" i="12"/>
  <c r="J98" i="12" s="1"/>
  <c r="J106" i="12"/>
  <c r="J8" i="48"/>
  <c r="K42" i="9"/>
  <c r="K32" i="9" s="1"/>
  <c r="I38" i="12"/>
  <c r="I97" i="12" s="1"/>
  <c r="K14" i="9"/>
  <c r="K45" i="9"/>
  <c r="K35" i="9" s="1"/>
  <c r="J101" i="12"/>
  <c r="J44" i="12"/>
  <c r="J103" i="12" s="1"/>
  <c r="K25" i="9"/>
  <c r="J99" i="12"/>
  <c r="K40" i="9"/>
  <c r="K30" i="9" s="1"/>
  <c r="K39" i="9"/>
  <c r="K29" i="9" s="1"/>
  <c r="L21" i="9"/>
  <c r="L20" i="9"/>
  <c r="K75" i="12" s="1"/>
  <c r="L12" i="9"/>
  <c r="L44" i="9" s="1"/>
  <c r="L34" i="9" s="1"/>
  <c r="L8" i="9"/>
  <c r="K42" i="12" s="1"/>
  <c r="L18" i="9"/>
  <c r="K72" i="12" s="1"/>
  <c r="L13" i="9"/>
  <c r="L45" i="9" s="1"/>
  <c r="L35" i="9" s="1"/>
  <c r="L6" i="9"/>
  <c r="L9" i="9"/>
  <c r="L10" i="9"/>
  <c r="L17" i="9"/>
  <c r="L19" i="9"/>
  <c r="K74" i="12" s="1"/>
  <c r="L11" i="9"/>
  <c r="L43" i="9" s="1"/>
  <c r="L33" i="9" s="1"/>
  <c r="L7" i="9"/>
  <c r="K76" i="12"/>
  <c r="K77" i="12"/>
  <c r="K78" i="12"/>
  <c r="K79" i="12"/>
  <c r="J70" i="12"/>
  <c r="G92" i="12"/>
  <c r="CU42" i="1"/>
  <c r="CU52" i="1" s="1"/>
  <c r="I65" i="12" s="1"/>
  <c r="BM51" i="1"/>
  <c r="BL53" i="1"/>
  <c r="G31" i="12"/>
  <c r="G90" i="12" s="1"/>
  <c r="BN42" i="1"/>
  <c r="BN52" i="1" s="1"/>
  <c r="CI45" i="1"/>
  <c r="CI46" i="1" s="1"/>
  <c r="H64" i="12"/>
  <c r="CI51" i="1"/>
  <c r="H32" i="12" s="1"/>
  <c r="CK44" i="1"/>
  <c r="CK42" i="1" s="1"/>
  <c r="CK52" i="1" s="1"/>
  <c r="CV44" i="1"/>
  <c r="CV42" i="1" s="1"/>
  <c r="CW13" i="1"/>
  <c r="CW38" i="1" s="1"/>
  <c r="CW14" i="1"/>
  <c r="CW48" i="1" s="1"/>
  <c r="CW15" i="1"/>
  <c r="CW49" i="1" s="1"/>
  <c r="CL15" i="1"/>
  <c r="CL49" i="1" s="1"/>
  <c r="CL13" i="1"/>
  <c r="CL38" i="1" s="1"/>
  <c r="CL14" i="1"/>
  <c r="CL48" i="1" s="1"/>
  <c r="BC48" i="1"/>
  <c r="BC49" i="1"/>
  <c r="AR49" i="1"/>
  <c r="AR48" i="1"/>
  <c r="CJ42" i="1"/>
  <c r="CJ52" i="1" s="1"/>
  <c r="CT45" i="1"/>
  <c r="CT46" i="1" s="1"/>
  <c r="CT51" i="1"/>
  <c r="H33" i="12" s="1"/>
  <c r="CT52" i="1"/>
  <c r="H65" i="12" s="1"/>
  <c r="CS53" i="1"/>
  <c r="AT9" i="1"/>
  <c r="AT11" i="1"/>
  <c r="AT10" i="1"/>
  <c r="AT18" i="1" s="1"/>
  <c r="BO61" i="1"/>
  <c r="BP13" i="1"/>
  <c r="BP38" i="1" s="1"/>
  <c r="BP44" i="1" s="1"/>
  <c r="BP14" i="1"/>
  <c r="BP48" i="1" s="1"/>
  <c r="BP15" i="1"/>
  <c r="BP49" i="1" s="1"/>
  <c r="J64" i="35"/>
  <c r="J66" i="35" s="1"/>
  <c r="BE11" i="1"/>
  <c r="BE10" i="1"/>
  <c r="BE18" i="1" s="1"/>
  <c r="M9" i="1"/>
  <c r="M10" i="1" s="1"/>
  <c r="M18" i="1" s="1"/>
  <c r="M11" i="1"/>
  <c r="M13" i="1"/>
  <c r="AI9" i="1"/>
  <c r="AI11" i="1"/>
  <c r="AI32" i="1" s="1"/>
  <c r="AI10" i="1"/>
  <c r="AI18" i="1" s="1"/>
  <c r="AI13" i="1"/>
  <c r="AI15" i="1"/>
  <c r="AI14" i="1"/>
  <c r="AH31" i="1"/>
  <c r="AH23" i="1"/>
  <c r="AH27" i="1"/>
  <c r="L38" i="48"/>
  <c r="L37" i="48"/>
  <c r="K53" i="35"/>
  <c r="J19" i="38" s="1"/>
  <c r="J33" i="38" s="1"/>
  <c r="N75" i="36"/>
  <c r="N26" i="35"/>
  <c r="AS38" i="1"/>
  <c r="J12" i="12" s="1"/>
  <c r="BD38" i="1"/>
  <c r="J13" i="12" s="1"/>
  <c r="N198" i="36"/>
  <c r="N201" i="36" s="1"/>
  <c r="N202" i="36" s="1"/>
  <c r="N207" i="36"/>
  <c r="N210" i="36" s="1"/>
  <c r="M44" i="36"/>
  <c r="I44" i="36"/>
  <c r="L44" i="36"/>
  <c r="K44" i="36"/>
  <c r="J44" i="36"/>
  <c r="M39" i="48"/>
  <c r="G39" i="48"/>
  <c r="G41" i="48" s="1"/>
  <c r="H39" i="48"/>
  <c r="I39" i="48"/>
  <c r="J39" i="48"/>
  <c r="K39" i="48"/>
  <c r="L39" i="48"/>
  <c r="M25" i="35"/>
  <c r="CJ43" i="27"/>
  <c r="H41" i="17"/>
  <c r="H38" i="17"/>
  <c r="CN44" i="34"/>
  <c r="E45" i="17"/>
  <c r="G35" i="17"/>
  <c r="O47" i="36"/>
  <c r="O50" i="36"/>
  <c r="K158" i="12" s="1"/>
  <c r="N44" i="36"/>
  <c r="M22" i="35"/>
  <c r="H33" i="17"/>
  <c r="G45" i="17"/>
  <c r="G34" i="17"/>
  <c r="G47" i="17"/>
  <c r="F51" i="17"/>
  <c r="H44" i="17"/>
  <c r="D38" i="17"/>
  <c r="G42" i="17"/>
  <c r="H42" i="17"/>
  <c r="D46" i="17"/>
  <c r="D35" i="17"/>
  <c r="D40" i="17"/>
  <c r="E40" i="17"/>
  <c r="F36" i="17"/>
  <c r="D36" i="17"/>
  <c r="F32" i="17"/>
  <c r="E32" i="17"/>
  <c r="F39" i="17"/>
  <c r="D33" i="17"/>
  <c r="E49" i="17"/>
  <c r="F33" i="17"/>
  <c r="D41" i="17"/>
  <c r="E43" i="17"/>
  <c r="H34" i="17"/>
  <c r="F46" i="17"/>
  <c r="F41" i="17"/>
  <c r="G43" i="17"/>
  <c r="F37" i="17"/>
  <c r="F38" i="17"/>
  <c r="E31" i="17"/>
  <c r="CL42" i="27"/>
  <c r="DH42" i="27" s="1"/>
  <c r="DI38" i="27"/>
  <c r="EE38" i="27" s="1"/>
  <c r="FW38" i="27" s="1"/>
  <c r="DG40" i="27"/>
  <c r="EC40" i="27" s="1"/>
  <c r="FU40" i="27" s="1"/>
  <c r="DH40" i="27"/>
  <c r="ED40" i="27" s="1"/>
  <c r="FV40" i="27" s="1"/>
  <c r="CI34" i="27"/>
  <c r="DI43" i="27"/>
  <c r="EE43" i="27" s="1"/>
  <c r="FW43" i="27" s="1"/>
  <c r="DH38" i="27"/>
  <c r="ED38" i="27" s="1"/>
  <c r="FV38" i="27" s="1"/>
  <c r="DF29" i="27"/>
  <c r="EB29" i="27" s="1"/>
  <c r="FT29" i="27" s="1"/>
  <c r="DH35" i="27"/>
  <c r="ED35" i="27" s="1"/>
  <c r="FV35" i="27" s="1"/>
  <c r="DE42" i="27"/>
  <c r="EA42" i="27" s="1"/>
  <c r="FS42" i="27" s="1"/>
  <c r="DE37" i="27"/>
  <c r="DG43" i="27"/>
  <c r="DI33" i="27"/>
  <c r="EE33" i="27" s="1"/>
  <c r="FW33" i="27" s="1"/>
  <c r="DF40" i="27"/>
  <c r="EB40" i="27" s="1"/>
  <c r="FT40" i="27" s="1"/>
  <c r="DG27" i="27"/>
  <c r="EC27" i="27" s="1"/>
  <c r="FU27" i="27" s="1"/>
  <c r="DH28" i="27"/>
  <c r="ED28" i="27" s="1"/>
  <c r="FV28" i="27" s="1"/>
  <c r="DH43" i="27"/>
  <c r="DF43" i="27"/>
  <c r="H52" i="17"/>
  <c r="E53" i="17"/>
  <c r="D50" i="17"/>
  <c r="D53" i="17"/>
  <c r="G48" i="17"/>
  <c r="E51" i="17"/>
  <c r="H49" i="17"/>
  <c r="F50" i="17"/>
  <c r="F52" i="17"/>
  <c r="D48" i="17"/>
  <c r="F53" i="17"/>
  <c r="F47" i="17"/>
  <c r="E47" i="17"/>
  <c r="H53" i="17"/>
  <c r="G52" i="17"/>
  <c r="G50" i="17"/>
  <c r="G49" i="17"/>
  <c r="DF44" i="34"/>
  <c r="DF50" i="34" s="1"/>
  <c r="DE44" i="34"/>
  <c r="DE50" i="34" s="1"/>
  <c r="EE44" i="34"/>
  <c r="ED44" i="34"/>
  <c r="EC44" i="34"/>
  <c r="DH44" i="34"/>
  <c r="DH50" i="34" s="1"/>
  <c r="DG44" i="34"/>
  <c r="DG50" i="34" s="1"/>
  <c r="DI44" i="34"/>
  <c r="DI50" i="34" s="1"/>
  <c r="D31" i="17"/>
  <c r="DI31" i="27"/>
  <c r="EE31" i="27" s="1"/>
  <c r="FW31" i="27" s="1"/>
  <c r="DF30" i="27"/>
  <c r="EB30" i="27" s="1"/>
  <c r="FT30" i="27" s="1"/>
  <c r="DE32" i="27"/>
  <c r="EA32" i="27" s="1"/>
  <c r="FS32" i="27" s="1"/>
  <c r="DE43" i="27"/>
  <c r="DH36" i="27"/>
  <c r="ED36" i="27" s="1"/>
  <c r="FV36" i="27" s="1"/>
  <c r="DI39" i="27"/>
  <c r="EE39" i="27" s="1"/>
  <c r="FW39" i="27" s="1"/>
  <c r="DE35" i="27"/>
  <c r="EA35" i="27" s="1"/>
  <c r="FS35" i="27" s="1"/>
  <c r="BD44" i="1" l="1"/>
  <c r="M229" i="36"/>
  <c r="M159" i="36"/>
  <c r="K35" i="38"/>
  <c r="I174" i="12"/>
  <c r="I182" i="12" s="1"/>
  <c r="O145" i="36"/>
  <c r="O180" i="36" s="1"/>
  <c r="O163" i="36"/>
  <c r="O144" i="36"/>
  <c r="O162" i="36"/>
  <c r="N176" i="36"/>
  <c r="N230" i="36" s="1"/>
  <c r="O215" i="36"/>
  <c r="N179" i="36"/>
  <c r="N193" i="36" s="1"/>
  <c r="N158" i="36"/>
  <c r="AS44" i="1"/>
  <c r="X57" i="1"/>
  <c r="AT57" i="1"/>
  <c r="BE57" i="1"/>
  <c r="AT60" i="1"/>
  <c r="BE60" i="1"/>
  <c r="X60" i="1"/>
  <c r="AT56" i="1"/>
  <c r="M58" i="1"/>
  <c r="X56" i="1"/>
  <c r="BE56" i="1"/>
  <c r="W44" i="1"/>
  <c r="W58" i="1"/>
  <c r="AS58" i="1"/>
  <c r="BD58" i="1"/>
  <c r="AI44" i="1"/>
  <c r="M44" i="1"/>
  <c r="BN45" i="1"/>
  <c r="BN46" i="1" s="1"/>
  <c r="DE33" i="27"/>
  <c r="EA33" i="27"/>
  <c r="FS33" i="27" s="1"/>
  <c r="DE31" i="27"/>
  <c r="EA31" i="27" s="1"/>
  <c r="FS31" i="27" s="1"/>
  <c r="DE26" i="27"/>
  <c r="EA26" i="27" s="1"/>
  <c r="FS26" i="27" s="1"/>
  <c r="DE27" i="27"/>
  <c r="EA27" i="27" s="1"/>
  <c r="FS27" i="27" s="1"/>
  <c r="DE24" i="27"/>
  <c r="EA24" i="27" s="1"/>
  <c r="FS24" i="27" s="1"/>
  <c r="DE23" i="27"/>
  <c r="EA23" i="27" s="1"/>
  <c r="FS23" i="27" s="1"/>
  <c r="DG39" i="27"/>
  <c r="EC39" i="27" s="1"/>
  <c r="FU39" i="27" s="1"/>
  <c r="DG35" i="27"/>
  <c r="EC35" i="27" s="1"/>
  <c r="FU35" i="27" s="1"/>
  <c r="DI35" i="27"/>
  <c r="EE35" i="27"/>
  <c r="FW35" i="27" s="1"/>
  <c r="DG37" i="27"/>
  <c r="EC37" i="27" s="1"/>
  <c r="FU37" i="27" s="1"/>
  <c r="DF26" i="27"/>
  <c r="EB26" i="27" s="1"/>
  <c r="FT26" i="27" s="1"/>
  <c r="DH26" i="27"/>
  <c r="ED26" i="27" s="1"/>
  <c r="FV26" i="27" s="1"/>
  <c r="DF34" i="27"/>
  <c r="EB34" i="27" s="1"/>
  <c r="FT34" i="27" s="1"/>
  <c r="DH27" i="27"/>
  <c r="ED27" i="27"/>
  <c r="FV27" i="27" s="1"/>
  <c r="DG38" i="27"/>
  <c r="EC38" i="27" s="1"/>
  <c r="FU38" i="27" s="1"/>
  <c r="DF36" i="27"/>
  <c r="EB36" i="27" s="1"/>
  <c r="FT36" i="27" s="1"/>
  <c r="DG30" i="27"/>
  <c r="EC30" i="27" s="1"/>
  <c r="FU30" i="27" s="1"/>
  <c r="DI30" i="27"/>
  <c r="EE30" i="27" s="1"/>
  <c r="FW30" i="27" s="1"/>
  <c r="DI29" i="27"/>
  <c r="EE29" i="27" s="1"/>
  <c r="FW29" i="27" s="1"/>
  <c r="DG23" i="27"/>
  <c r="EC23" i="27" s="1"/>
  <c r="FU23" i="27" s="1"/>
  <c r="DG32" i="27"/>
  <c r="EC32" i="27"/>
  <c r="FU32" i="27" s="1"/>
  <c r="DF35" i="27"/>
  <c r="EB35" i="27" s="1"/>
  <c r="FT35" i="27" s="1"/>
  <c r="DG33" i="27"/>
  <c r="EC33" i="27"/>
  <c r="FU33" i="27" s="1"/>
  <c r="CU51" i="1"/>
  <c r="I33" i="12" s="1"/>
  <c r="I92" i="12" s="1"/>
  <c r="CU45" i="1"/>
  <c r="CU46" i="1" s="1"/>
  <c r="K100" i="12"/>
  <c r="L221" i="28"/>
  <c r="K248" i="12"/>
  <c r="J170" i="12"/>
  <c r="J199" i="12" s="1"/>
  <c r="L219" i="28"/>
  <c r="M36" i="48"/>
  <c r="M14" i="1"/>
  <c r="K122" i="12"/>
  <c r="K147" i="12"/>
  <c r="K112" i="12"/>
  <c r="K46" i="12"/>
  <c r="K105" i="12" s="1"/>
  <c r="H91" i="12"/>
  <c r="K101" i="12"/>
  <c r="K8" i="48"/>
  <c r="K47" i="12"/>
  <c r="K106" i="12" s="1"/>
  <c r="L39" i="9"/>
  <c r="L29" i="9" s="1"/>
  <c r="K40" i="12"/>
  <c r="K99" i="12" s="1"/>
  <c r="L40" i="9"/>
  <c r="L30" i="9" s="1"/>
  <c r="L25" i="9"/>
  <c r="L42" i="9"/>
  <c r="L32" i="9" s="1"/>
  <c r="L41" i="9"/>
  <c r="L31" i="9" s="1"/>
  <c r="L38" i="9"/>
  <c r="L28" i="9" s="1"/>
  <c r="L14" i="9"/>
  <c r="J38" i="12"/>
  <c r="J97" i="12" s="1"/>
  <c r="K43" i="12"/>
  <c r="K102" i="12" s="1"/>
  <c r="K45" i="12"/>
  <c r="K104" i="12" s="1"/>
  <c r="K71" i="12"/>
  <c r="K70" i="12" s="1"/>
  <c r="K39" i="12"/>
  <c r="K46" i="9"/>
  <c r="K36" i="9" s="1"/>
  <c r="K44" i="12"/>
  <c r="K103" i="12" s="1"/>
  <c r="H92" i="12"/>
  <c r="H62" i="12"/>
  <c r="BN51" i="1"/>
  <c r="I63" i="12"/>
  <c r="BM53" i="1"/>
  <c r="H31" i="12"/>
  <c r="H90" i="12" s="1"/>
  <c r="G30" i="12"/>
  <c r="G89" i="12" s="1"/>
  <c r="G130" i="12" s="1"/>
  <c r="CJ51" i="1"/>
  <c r="I32" i="12" s="1"/>
  <c r="CJ45" i="1"/>
  <c r="CJ46" i="1" s="1"/>
  <c r="I64" i="12"/>
  <c r="CW44" i="1"/>
  <c r="CW61" i="1" s="1"/>
  <c r="CV51" i="1"/>
  <c r="J33" i="12" s="1"/>
  <c r="CV45" i="1"/>
  <c r="CV46" i="1" s="1"/>
  <c r="CV52" i="1"/>
  <c r="J65" i="12" s="1"/>
  <c r="CV61" i="1"/>
  <c r="CK45" i="1"/>
  <c r="CK46" i="1" s="1"/>
  <c r="J64" i="12"/>
  <c r="CK51" i="1"/>
  <c r="J32" i="12" s="1"/>
  <c r="BD49" i="1"/>
  <c r="BD48" i="1"/>
  <c r="CK61" i="1"/>
  <c r="CI53" i="1"/>
  <c r="AS48" i="1"/>
  <c r="AS49" i="1"/>
  <c r="CL44" i="1"/>
  <c r="CL42" i="1" s="1"/>
  <c r="CL52" i="1" s="1"/>
  <c r="CT53" i="1"/>
  <c r="BP61" i="1"/>
  <c r="BO42" i="1"/>
  <c r="BO52" i="1" s="1"/>
  <c r="K64" i="35"/>
  <c r="K66" i="35" s="1"/>
  <c r="AI31" i="1"/>
  <c r="AI23" i="1"/>
  <c r="AI27" i="1"/>
  <c r="M38" i="48"/>
  <c r="M37" i="48"/>
  <c r="O44" i="36"/>
  <c r="L53" i="35"/>
  <c r="K19" i="38" s="1"/>
  <c r="K33" i="38" s="1"/>
  <c r="O75" i="36"/>
  <c r="U38" i="1"/>
  <c r="H10" i="12" s="1"/>
  <c r="BE38" i="1"/>
  <c r="K13" i="12" s="1"/>
  <c r="T38" i="1"/>
  <c r="G10" i="12" s="1"/>
  <c r="S38" i="1"/>
  <c r="F10" i="12" s="1"/>
  <c r="R38" i="1"/>
  <c r="AT38" i="1"/>
  <c r="K12" i="12" s="1"/>
  <c r="V38" i="1"/>
  <c r="I10" i="12" s="1"/>
  <c r="X38" i="1"/>
  <c r="K10" i="12" s="1"/>
  <c r="W38" i="1"/>
  <c r="J10" i="12" s="1"/>
  <c r="O207" i="36"/>
  <c r="O210" i="36" s="1"/>
  <c r="O198" i="36"/>
  <c r="O201" i="36" s="1"/>
  <c r="O202" i="36" s="1"/>
  <c r="N25" i="35"/>
  <c r="F63" i="36"/>
  <c r="G23" i="35"/>
  <c r="F15" i="38" s="1"/>
  <c r="H44" i="36"/>
  <c r="DJ44" i="34"/>
  <c r="EF44" i="34"/>
  <c r="CO44" i="34"/>
  <c r="I57" i="17"/>
  <c r="I54" i="17"/>
  <c r="G36" i="12" s="1"/>
  <c r="J54" i="17"/>
  <c r="H36" i="12" s="1"/>
  <c r="N22" i="35"/>
  <c r="H57" i="17"/>
  <c r="F57" i="17"/>
  <c r="DE34" i="27"/>
  <c r="EA34" i="27" s="1"/>
  <c r="FS34" i="27" s="1"/>
  <c r="DI41" i="27"/>
  <c r="EE41" i="27" s="1"/>
  <c r="FW41" i="27" s="1"/>
  <c r="DE29" i="27"/>
  <c r="EA29" i="27" s="1"/>
  <c r="FS29" i="27" s="1"/>
  <c r="G57" i="17"/>
  <c r="CM52" i="34"/>
  <c r="EE50" i="34"/>
  <c r="CM53" i="34" s="1"/>
  <c r="EC50" i="34"/>
  <c r="CK53" i="34" s="1"/>
  <c r="CK52" i="34"/>
  <c r="CL52" i="34"/>
  <c r="ED50" i="34"/>
  <c r="CL53" i="34" s="1"/>
  <c r="EA44" i="34"/>
  <c r="D57" i="17"/>
  <c r="E57" i="17"/>
  <c r="EB44" i="34"/>
  <c r="O176" i="36" l="1"/>
  <c r="O230" i="36" s="1"/>
  <c r="N229" i="36"/>
  <c r="N159" i="36"/>
  <c r="O179" i="36"/>
  <c r="O193" i="36" s="1"/>
  <c r="O158" i="36"/>
  <c r="L35" i="38"/>
  <c r="J174" i="12"/>
  <c r="J182" i="12" s="1"/>
  <c r="K174" i="12"/>
  <c r="K182" i="12" s="1"/>
  <c r="X44" i="1"/>
  <c r="CU53" i="1"/>
  <c r="K136" i="12"/>
  <c r="K170" i="12" s="1"/>
  <c r="K199" i="12" s="1"/>
  <c r="BE44" i="1"/>
  <c r="AT44" i="1"/>
  <c r="AT58" i="1"/>
  <c r="X58" i="1"/>
  <c r="BE58" i="1"/>
  <c r="G95" i="12"/>
  <c r="G68" i="12"/>
  <c r="G39" i="1"/>
  <c r="E10" i="12"/>
  <c r="E8" i="12" s="1"/>
  <c r="G164" i="12"/>
  <c r="G193" i="12" s="1"/>
  <c r="G143" i="12"/>
  <c r="J91" i="12"/>
  <c r="K98" i="12"/>
  <c r="L46" i="9"/>
  <c r="L36" i="9" s="1"/>
  <c r="J92" i="12"/>
  <c r="I91" i="12"/>
  <c r="L8" i="48"/>
  <c r="K38" i="12"/>
  <c r="K97" i="12" s="1"/>
  <c r="I62" i="12"/>
  <c r="CW42" i="1"/>
  <c r="CW52" i="1" s="1"/>
  <c r="K65" i="12" s="1"/>
  <c r="BO51" i="1"/>
  <c r="J63" i="12"/>
  <c r="BN53" i="1"/>
  <c r="I31" i="12"/>
  <c r="I90" i="12" s="1"/>
  <c r="J7" i="48"/>
  <c r="I7" i="48"/>
  <c r="H30" i="12"/>
  <c r="H89" i="12" s="1"/>
  <c r="H130" i="12" s="1"/>
  <c r="R48" i="1"/>
  <c r="R49" i="1"/>
  <c r="S48" i="1"/>
  <c r="S49" i="1"/>
  <c r="W49" i="1"/>
  <c r="W48" i="1"/>
  <c r="T48" i="1"/>
  <c r="T49" i="1"/>
  <c r="BP42" i="1"/>
  <c r="BP52" i="1" s="1"/>
  <c r="CV53" i="1"/>
  <c r="BE49" i="1"/>
  <c r="BE48" i="1"/>
  <c r="V48" i="1"/>
  <c r="V49" i="1"/>
  <c r="U48" i="1"/>
  <c r="U49" i="1"/>
  <c r="K64" i="12"/>
  <c r="CL51" i="1"/>
  <c r="K32" i="12" s="1"/>
  <c r="CL45" i="1"/>
  <c r="CL46" i="1" s="1"/>
  <c r="X49" i="1"/>
  <c r="X48" i="1"/>
  <c r="CL61" i="1"/>
  <c r="CK53" i="1"/>
  <c r="AT48" i="1"/>
  <c r="AT49" i="1"/>
  <c r="AT61" i="1" s="1"/>
  <c r="CJ53" i="1"/>
  <c r="L64" i="35"/>
  <c r="L66" i="35" s="1"/>
  <c r="BO45" i="1"/>
  <c r="BO46" i="1" s="1"/>
  <c r="M53" i="35"/>
  <c r="L19" i="38" s="1"/>
  <c r="L33" i="38" s="1"/>
  <c r="AC38" i="1"/>
  <c r="E11" i="12" s="1"/>
  <c r="H63" i="36"/>
  <c r="F9" i="38" s="1"/>
  <c r="H23" i="35"/>
  <c r="G15" i="38" s="1"/>
  <c r="E28" i="35"/>
  <c r="G64" i="36"/>
  <c r="F27" i="35" s="1"/>
  <c r="F28" i="35" s="1"/>
  <c r="F223" i="36" s="1"/>
  <c r="EG44" i="34"/>
  <c r="DK44" i="34"/>
  <c r="CP44" i="34"/>
  <c r="J57" i="17"/>
  <c r="K54" i="17"/>
  <c r="I36" i="12" s="1"/>
  <c r="I60" i="17"/>
  <c r="AE32" i="1"/>
  <c r="AH32" i="1"/>
  <c r="AF32" i="1"/>
  <c r="AG32" i="1"/>
  <c r="CL55" i="34"/>
  <c r="CL56" i="34" s="1"/>
  <c r="CM55" i="34"/>
  <c r="CM56" i="34" s="1"/>
  <c r="EB50" i="34"/>
  <c r="CJ53" i="34" s="1"/>
  <c r="CJ52" i="34"/>
  <c r="CK55" i="34" s="1"/>
  <c r="CK56" i="34" s="1"/>
  <c r="EA50" i="34"/>
  <c r="CI53" i="34" s="1"/>
  <c r="CI52" i="34"/>
  <c r="CR38" i="1"/>
  <c r="CQ38" i="1"/>
  <c r="CP38" i="1"/>
  <c r="CO38" i="1"/>
  <c r="CG38" i="1"/>
  <c r="CF38" i="1"/>
  <c r="CE38" i="1"/>
  <c r="CD38" i="1"/>
  <c r="M35" i="38" l="1"/>
  <c r="O229" i="36"/>
  <c r="O159" i="36"/>
  <c r="BE61" i="1"/>
  <c r="H95" i="12"/>
  <c r="H68" i="12"/>
  <c r="BP45" i="1"/>
  <c r="BP46" i="1" s="1"/>
  <c r="H164" i="12"/>
  <c r="H193" i="12" s="1"/>
  <c r="H143" i="12"/>
  <c r="K91" i="12"/>
  <c r="CW45" i="1"/>
  <c r="CW46" i="1" s="1"/>
  <c r="U61" i="1"/>
  <c r="CW51" i="1"/>
  <c r="K33" i="12" s="1"/>
  <c r="K92" i="12" s="1"/>
  <c r="M8" i="48"/>
  <c r="V61" i="1"/>
  <c r="R61" i="1"/>
  <c r="W61" i="1"/>
  <c r="BP51" i="1"/>
  <c r="BO53" i="1"/>
  <c r="J31" i="12"/>
  <c r="K7" i="48"/>
  <c r="I30" i="12"/>
  <c r="I89" i="12" s="1"/>
  <c r="I130" i="12" s="1"/>
  <c r="CL53" i="1"/>
  <c r="AC48" i="1"/>
  <c r="J62" i="12"/>
  <c r="N53" i="35"/>
  <c r="M19" i="38" s="1"/>
  <c r="M33" i="38" s="1"/>
  <c r="T61" i="1"/>
  <c r="X61" i="1"/>
  <c r="S61" i="1"/>
  <c r="H64" i="36"/>
  <c r="G27" i="35" s="1"/>
  <c r="G28" i="35" s="1"/>
  <c r="G223" i="36" s="1"/>
  <c r="I63" i="36"/>
  <c r="G9" i="38" s="1"/>
  <c r="I23" i="35"/>
  <c r="H15" i="38" s="1"/>
  <c r="CQ44" i="34"/>
  <c r="EH44" i="34"/>
  <c r="DL44" i="34"/>
  <c r="J60" i="17"/>
  <c r="K57" i="17"/>
  <c r="M54" i="17"/>
  <c r="K36" i="12" s="1"/>
  <c r="L54" i="17"/>
  <c r="J36" i="12" s="1"/>
  <c r="W58" i="24"/>
  <c r="V58" i="24"/>
  <c r="U58" i="24"/>
  <c r="T58" i="24"/>
  <c r="S58" i="24"/>
  <c r="C59" i="24"/>
  <c r="C58" i="24"/>
  <c r="O58" i="24"/>
  <c r="N58" i="24"/>
  <c r="M58" i="24"/>
  <c r="L58" i="24"/>
  <c r="K58" i="24"/>
  <c r="J56" i="24"/>
  <c r="B56" i="24"/>
  <c r="R56" i="24"/>
  <c r="R26" i="24"/>
  <c r="W28" i="24"/>
  <c r="V28" i="24"/>
  <c r="U28" i="24"/>
  <c r="T28" i="24"/>
  <c r="S28" i="24"/>
  <c r="R27" i="24"/>
  <c r="J59" i="24"/>
  <c r="J58" i="24"/>
  <c r="B59" i="24"/>
  <c r="B58" i="24"/>
  <c r="R59" i="24"/>
  <c r="R58" i="24"/>
  <c r="R29" i="24"/>
  <c r="R28" i="24"/>
  <c r="B4" i="24"/>
  <c r="B27" i="24" s="1"/>
  <c r="J4" i="24"/>
  <c r="J27" i="24" s="1"/>
  <c r="R34" i="24"/>
  <c r="R57" i="24" s="1"/>
  <c r="J34" i="24"/>
  <c r="J57" i="24" s="1"/>
  <c r="B34" i="24"/>
  <c r="B57" i="24" s="1"/>
  <c r="O28" i="24"/>
  <c r="N28" i="24"/>
  <c r="M28" i="24"/>
  <c r="L28" i="24"/>
  <c r="K28" i="24"/>
  <c r="J29" i="24"/>
  <c r="J28" i="24"/>
  <c r="J26" i="24"/>
  <c r="C20" i="7"/>
  <c r="B37" i="7"/>
  <c r="B36" i="7"/>
  <c r="B35" i="7"/>
  <c r="B34" i="7"/>
  <c r="B33" i="7"/>
  <c r="B32" i="7"/>
  <c r="B31" i="7"/>
  <c r="B30" i="7"/>
  <c r="B29" i="7"/>
  <c r="B28" i="7"/>
  <c r="B27" i="7"/>
  <c r="B26" i="7"/>
  <c r="B25" i="7"/>
  <c r="B24" i="7"/>
  <c r="B23" i="7"/>
  <c r="F11" i="27"/>
  <c r="F21" i="27"/>
  <c r="F20" i="27"/>
  <c r="F18" i="27"/>
  <c r="F16" i="27"/>
  <c r="F17" i="27"/>
  <c r="F14" i="27"/>
  <c r="F15" i="27"/>
  <c r="F13" i="27"/>
  <c r="F12" i="27"/>
  <c r="F8" i="27"/>
  <c r="C11" i="7"/>
  <c r="DP50" i="27"/>
  <c r="DQ50" i="27"/>
  <c r="DR50" i="27"/>
  <c r="DS50" i="27"/>
  <c r="DT50" i="27"/>
  <c r="CW53" i="1" l="1"/>
  <c r="I95" i="12"/>
  <c r="I68" i="12"/>
  <c r="DE18" i="27"/>
  <c r="EA18" i="27" s="1"/>
  <c r="FS18" i="27" s="1"/>
  <c r="DE21" i="27"/>
  <c r="EA21" i="27" s="1"/>
  <c r="FS21" i="27" s="1"/>
  <c r="DE20" i="27"/>
  <c r="EA20" i="27" s="1"/>
  <c r="FS20" i="27" s="1"/>
  <c r="DE16" i="27"/>
  <c r="EA16" i="27" s="1"/>
  <c r="FS16" i="27" s="1"/>
  <c r="DE17" i="27"/>
  <c r="EA17" i="27" s="1"/>
  <c r="FS17" i="27" s="1"/>
  <c r="DE12" i="27"/>
  <c r="EA12" i="27" s="1"/>
  <c r="FS12" i="27" s="1"/>
  <c r="DE11" i="27"/>
  <c r="EA11" i="27" s="1"/>
  <c r="FS11" i="27" s="1"/>
  <c r="DE14" i="27"/>
  <c r="EA14" i="27" s="1"/>
  <c r="FS14" i="27" s="1"/>
  <c r="DE15" i="27"/>
  <c r="EA15" i="27" s="1"/>
  <c r="FS15" i="27" s="1"/>
  <c r="DF20" i="27"/>
  <c r="EB20" i="27" s="1"/>
  <c r="FT20" i="27" s="1"/>
  <c r="DG20" i="27"/>
  <c r="EC20" i="27" s="1"/>
  <c r="FU20" i="27" s="1"/>
  <c r="DH20" i="27"/>
  <c r="ED20" i="27" s="1"/>
  <c r="FV20" i="27" s="1"/>
  <c r="DI20" i="27"/>
  <c r="EE20" i="27" s="1"/>
  <c r="DG15" i="27"/>
  <c r="EC15" i="27" s="1"/>
  <c r="FU15" i="27" s="1"/>
  <c r="DF12" i="27"/>
  <c r="EB12" i="27" s="1"/>
  <c r="DF14" i="27"/>
  <c r="EB14" i="27"/>
  <c r="FT14" i="27" s="1"/>
  <c r="DI11" i="27"/>
  <c r="EE11" i="27" s="1"/>
  <c r="DG11" i="27"/>
  <c r="EC11" i="27" s="1"/>
  <c r="FU11" i="27" s="1"/>
  <c r="I164" i="12"/>
  <c r="I193" i="12" s="1"/>
  <c r="I143" i="12"/>
  <c r="K63" i="12"/>
  <c r="K62" i="12" s="1"/>
  <c r="J30" i="12"/>
  <c r="J89" i="12" s="1"/>
  <c r="J130" i="12" s="1"/>
  <c r="J90" i="12"/>
  <c r="BN44" i="27"/>
  <c r="BM44" i="27"/>
  <c r="BO44" i="27"/>
  <c r="BQ44" i="27"/>
  <c r="BP44" i="27"/>
  <c r="BP53" i="1"/>
  <c r="K31" i="12"/>
  <c r="L7" i="48"/>
  <c r="M7" i="48"/>
  <c r="M64" i="35"/>
  <c r="M66" i="35" s="1"/>
  <c r="I64" i="36"/>
  <c r="H27" i="35" s="1"/>
  <c r="H28" i="35" s="1"/>
  <c r="H223" i="36" s="1"/>
  <c r="BB42" i="1"/>
  <c r="J23" i="35"/>
  <c r="I15" i="38" s="1"/>
  <c r="J63" i="36"/>
  <c r="H9" i="38" s="1"/>
  <c r="AQ42" i="1"/>
  <c r="AR42" i="1"/>
  <c r="AT42" i="1"/>
  <c r="AS42" i="1"/>
  <c r="BC42" i="1"/>
  <c r="BE42" i="1"/>
  <c r="BD42" i="1"/>
  <c r="EJ44" i="34"/>
  <c r="DN44" i="34"/>
  <c r="EI44" i="34"/>
  <c r="DM44" i="34"/>
  <c r="CR44" i="34"/>
  <c r="M57" i="17"/>
  <c r="L57" i="17"/>
  <c r="K60" i="17"/>
  <c r="X58" i="24"/>
  <c r="X28" i="24"/>
  <c r="P28" i="24"/>
  <c r="P58" i="24"/>
  <c r="DE8" i="27"/>
  <c r="C8" i="7"/>
  <c r="C16" i="7"/>
  <c r="C13" i="7"/>
  <c r="C10" i="7"/>
  <c r="C18" i="7"/>
  <c r="C7" i="7"/>
  <c r="C15" i="7"/>
  <c r="C12" i="7"/>
  <c r="C9" i="7"/>
  <c r="C17" i="7"/>
  <c r="C6" i="7"/>
  <c r="C14" i="7"/>
  <c r="C19" i="7"/>
  <c r="K21" i="12" l="1"/>
  <c r="BE52" i="1"/>
  <c r="I21" i="12"/>
  <c r="BC52" i="1"/>
  <c r="I20" i="12"/>
  <c r="AR52" i="1"/>
  <c r="J21" i="12"/>
  <c r="BD52" i="1"/>
  <c r="J20" i="12"/>
  <c r="AS52" i="1"/>
  <c r="J60" i="12" s="1"/>
  <c r="H21" i="12"/>
  <c r="BB52" i="1"/>
  <c r="H61" i="12" s="1"/>
  <c r="K20" i="12"/>
  <c r="AT52" i="1"/>
  <c r="K60" i="12" s="1"/>
  <c r="H20" i="12"/>
  <c r="AQ52" i="1"/>
  <c r="H60" i="12" s="1"/>
  <c r="FW20" i="27"/>
  <c r="G35" i="7"/>
  <c r="FW11" i="27"/>
  <c r="G26" i="7"/>
  <c r="J95" i="12"/>
  <c r="J68" i="12"/>
  <c r="K95" i="12"/>
  <c r="K68" i="12"/>
  <c r="FT12" i="27"/>
  <c r="D27" i="7"/>
  <c r="CI44" i="27"/>
  <c r="DE13" i="27"/>
  <c r="EA13" i="27" s="1"/>
  <c r="FS13" i="27" s="1"/>
  <c r="DF16" i="27"/>
  <c r="EB16" i="27" s="1"/>
  <c r="FT16" i="27" s="1"/>
  <c r="DH11" i="27"/>
  <c r="ED11" i="27" s="1"/>
  <c r="FV11" i="27" s="1"/>
  <c r="DI18" i="27"/>
  <c r="EE18" i="27" s="1"/>
  <c r="DH21" i="27"/>
  <c r="ED21" i="27" s="1"/>
  <c r="FV21" i="27" s="1"/>
  <c r="DH18" i="27"/>
  <c r="ED18" i="27" s="1"/>
  <c r="DH15" i="27"/>
  <c r="ED15" i="27" s="1"/>
  <c r="FV15" i="27" s="1"/>
  <c r="DF13" i="27"/>
  <c r="EB13" i="27" s="1"/>
  <c r="DG13" i="27"/>
  <c r="EC13" i="27" s="1"/>
  <c r="DH8" i="27"/>
  <c r="ED8" i="27" s="1"/>
  <c r="FV8" i="27" s="1"/>
  <c r="DF21" i="27"/>
  <c r="EB21" i="27" s="1"/>
  <c r="FT21" i="27" s="1"/>
  <c r="DI15" i="27"/>
  <c r="EE15" i="27" s="1"/>
  <c r="DI17" i="27"/>
  <c r="EE17" i="27" s="1"/>
  <c r="DH17" i="27"/>
  <c r="ED17" i="27" s="1"/>
  <c r="DI14" i="27"/>
  <c r="EE14" i="27" s="1"/>
  <c r="DI8" i="27"/>
  <c r="EE8" i="27" s="1"/>
  <c r="DG12" i="27"/>
  <c r="EC12" i="27" s="1"/>
  <c r="DG17" i="27"/>
  <c r="EC17" i="27" s="1"/>
  <c r="DF11" i="27"/>
  <c r="EB11" i="27" s="1"/>
  <c r="FT11" i="27" s="1"/>
  <c r="DH13" i="27"/>
  <c r="ED13" i="27" s="1"/>
  <c r="F28" i="7" s="1"/>
  <c r="DG21" i="27"/>
  <c r="EC21" i="27" s="1"/>
  <c r="FU21" i="27" s="1"/>
  <c r="DF17" i="27"/>
  <c r="EB17" i="27" s="1"/>
  <c r="DI13" i="27"/>
  <c r="EE13" i="27" s="1"/>
  <c r="DF8" i="27"/>
  <c r="EB8" i="27" s="1"/>
  <c r="FT8" i="27" s="1"/>
  <c r="DG8" i="27"/>
  <c r="EC8" i="27" s="1"/>
  <c r="FU8" i="27" s="1"/>
  <c r="DI12" i="27"/>
  <c r="EE12" i="27" s="1"/>
  <c r="DH14" i="27"/>
  <c r="ED14" i="27" s="1"/>
  <c r="DH16" i="27"/>
  <c r="ED16" i="27" s="1"/>
  <c r="FV16" i="27" s="1"/>
  <c r="DI16" i="27"/>
  <c r="EE16" i="27" s="1"/>
  <c r="DG18" i="27"/>
  <c r="EC18" i="27" s="1"/>
  <c r="DI21" i="27"/>
  <c r="EE21" i="27" s="1"/>
  <c r="DH12" i="27"/>
  <c r="ED12" i="27" s="1"/>
  <c r="DG14" i="27"/>
  <c r="EC14" i="27" s="1"/>
  <c r="E29" i="7" s="1"/>
  <c r="DF18" i="27"/>
  <c r="EB18" i="27" s="1"/>
  <c r="DG16" i="27"/>
  <c r="EC16" i="27" s="1"/>
  <c r="FU16" i="27" s="1"/>
  <c r="DF15" i="27"/>
  <c r="EB15" i="27" s="1"/>
  <c r="FT15" i="27" s="1"/>
  <c r="K90" i="12"/>
  <c r="J164" i="12"/>
  <c r="J193" i="12" s="1"/>
  <c r="J143" i="12"/>
  <c r="N64" i="35"/>
  <c r="N66" i="35" s="1"/>
  <c r="K30" i="12"/>
  <c r="K89" i="12" s="1"/>
  <c r="K130" i="12" s="1"/>
  <c r="J64" i="36"/>
  <c r="I27" i="35" s="1"/>
  <c r="I28" i="35" s="1"/>
  <c r="I223" i="36" s="1"/>
  <c r="J61" i="12"/>
  <c r="I61" i="12"/>
  <c r="I60" i="12"/>
  <c r="K61" i="12"/>
  <c r="K63" i="36"/>
  <c r="I9" i="38" s="1"/>
  <c r="K23" i="35"/>
  <c r="J15" i="38" s="1"/>
  <c r="BE45" i="1"/>
  <c r="BE51" i="1"/>
  <c r="K29" i="12" s="1"/>
  <c r="AT51" i="1"/>
  <c r="K28" i="12" s="1"/>
  <c r="AT45" i="1"/>
  <c r="L60" i="17"/>
  <c r="M60" i="17"/>
  <c r="EQ44" i="27"/>
  <c r="FB18" i="27" s="1"/>
  <c r="ER44" i="27"/>
  <c r="FC17" i="27" s="1"/>
  <c r="ES44" i="27"/>
  <c r="FD21" i="27" s="1"/>
  <c r="ET44" i="27"/>
  <c r="FE17" i="27" s="1"/>
  <c r="BC45" i="1"/>
  <c r="BC51" i="1"/>
  <c r="I29" i="12" s="1"/>
  <c r="BD45" i="1"/>
  <c r="BD51" i="1"/>
  <c r="J29" i="12" s="1"/>
  <c r="AQ51" i="1"/>
  <c r="H28" i="12" s="1"/>
  <c r="AQ45" i="1"/>
  <c r="AR45" i="1"/>
  <c r="AR51" i="1"/>
  <c r="I28" i="12" s="1"/>
  <c r="BB45" i="1"/>
  <c r="BB51" i="1"/>
  <c r="H29" i="12" s="1"/>
  <c r="AS45" i="1"/>
  <c r="AS51" i="1"/>
  <c r="J28" i="12" s="1"/>
  <c r="CM44" i="27"/>
  <c r="EN44" i="27"/>
  <c r="EY20" i="27" s="1"/>
  <c r="EO44" i="27"/>
  <c r="EZ12" i="27" s="1"/>
  <c r="CJ44" i="27"/>
  <c r="EP44" i="27"/>
  <c r="FA11" i="27" s="1"/>
  <c r="CK44" i="27"/>
  <c r="EL44" i="27"/>
  <c r="EW18" i="27" s="1"/>
  <c r="CL44" i="27"/>
  <c r="EM44" i="27"/>
  <c r="EX18" i="27" s="1"/>
  <c r="C24" i="7"/>
  <c r="C29" i="7"/>
  <c r="FW21" i="27" l="1"/>
  <c r="G36" i="7"/>
  <c r="FW16" i="27"/>
  <c r="G31" i="7"/>
  <c r="FW8" i="27"/>
  <c r="G23" i="7"/>
  <c r="FW15" i="27"/>
  <c r="G30" i="7"/>
  <c r="FW12" i="27"/>
  <c r="G27" i="7"/>
  <c r="FT13" i="27"/>
  <c r="D28" i="7"/>
  <c r="FV12" i="27"/>
  <c r="F27" i="7"/>
  <c r="FU12" i="27"/>
  <c r="E27" i="7"/>
  <c r="FT17" i="27"/>
  <c r="D32" i="7"/>
  <c r="FV17" i="27"/>
  <c r="F32" i="7"/>
  <c r="FU17" i="27"/>
  <c r="E32" i="7"/>
  <c r="FW17" i="27"/>
  <c r="G32" i="7"/>
  <c r="FT18" i="27"/>
  <c r="D33" i="7"/>
  <c r="FV18" i="27"/>
  <c r="F33" i="7"/>
  <c r="FW18" i="27"/>
  <c r="G33" i="7"/>
  <c r="FU18" i="27"/>
  <c r="E33" i="7"/>
  <c r="FW14" i="27"/>
  <c r="G29" i="7"/>
  <c r="FV14" i="27"/>
  <c r="F29" i="7"/>
  <c r="FW13" i="27"/>
  <c r="G28" i="7"/>
  <c r="FU13" i="27"/>
  <c r="E28" i="7"/>
  <c r="FC12" i="27"/>
  <c r="FC21" i="27"/>
  <c r="FC13" i="27"/>
  <c r="FC14" i="27"/>
  <c r="FC11" i="27"/>
  <c r="FC20" i="27"/>
  <c r="FC15" i="27"/>
  <c r="EZ8" i="27"/>
  <c r="FC8" i="27"/>
  <c r="FC16" i="27"/>
  <c r="EW15" i="27"/>
  <c r="EW12" i="27"/>
  <c r="EZ11" i="27"/>
  <c r="EY14" i="27"/>
  <c r="EZ17" i="27"/>
  <c r="FD20" i="27"/>
  <c r="EW16" i="27"/>
  <c r="EW17" i="27"/>
  <c r="EW14" i="27"/>
  <c r="EW11" i="27"/>
  <c r="EW36" i="27"/>
  <c r="EW24" i="27"/>
  <c r="EW29" i="27"/>
  <c r="EW39" i="27"/>
  <c r="EW35" i="27"/>
  <c r="EW40" i="27"/>
  <c r="EW34" i="27"/>
  <c r="EW22" i="27"/>
  <c r="EW10" i="27"/>
  <c r="EW41" i="27"/>
  <c r="EW33" i="27"/>
  <c r="EW21" i="27"/>
  <c r="EW9" i="27"/>
  <c r="EW32" i="27"/>
  <c r="EW28" i="27"/>
  <c r="EW43" i="27"/>
  <c r="EW31" i="27"/>
  <c r="EW42" i="27"/>
  <c r="EW30" i="27"/>
  <c r="EW38" i="27"/>
  <c r="EW26" i="27"/>
  <c r="EW37" i="27"/>
  <c r="EW25" i="27"/>
  <c r="EW27" i="27"/>
  <c r="EW19" i="27"/>
  <c r="EW23" i="27"/>
  <c r="EW20" i="27"/>
  <c r="EW13" i="27"/>
  <c r="FU14" i="27"/>
  <c r="FV13" i="27"/>
  <c r="FB14" i="27"/>
  <c r="EX8" i="27"/>
  <c r="FD15" i="27"/>
  <c r="EX21" i="27"/>
  <c r="EZ14" i="27"/>
  <c r="FE15" i="27"/>
  <c r="EY17" i="27"/>
  <c r="EX12" i="27"/>
  <c r="FE11" i="27"/>
  <c r="FD11" i="27"/>
  <c r="FA8" i="27"/>
  <c r="EX17" i="27"/>
  <c r="FA16" i="27"/>
  <c r="EY12" i="27"/>
  <c r="EX15" i="27"/>
  <c r="FA14" i="27"/>
  <c r="FA13" i="27"/>
  <c r="EX16" i="27"/>
  <c r="FA17" i="27"/>
  <c r="FB42" i="27"/>
  <c r="FB36" i="27"/>
  <c r="FB30" i="27"/>
  <c r="FB24" i="27"/>
  <c r="FB43" i="27"/>
  <c r="FB37" i="27"/>
  <c r="FB31" i="27"/>
  <c r="FB25" i="27"/>
  <c r="FB38" i="27"/>
  <c r="FB32" i="27"/>
  <c r="FB26" i="27"/>
  <c r="FB39" i="27"/>
  <c r="FB33" i="27"/>
  <c r="FB27" i="27"/>
  <c r="FB9" i="27"/>
  <c r="FB40" i="27"/>
  <c r="FB34" i="27"/>
  <c r="FB28" i="27"/>
  <c r="FB22" i="27"/>
  <c r="FB10" i="27"/>
  <c r="FB41" i="27"/>
  <c r="FB35" i="27"/>
  <c r="FB29" i="27"/>
  <c r="FB23" i="27"/>
  <c r="FB19" i="27"/>
  <c r="EX11" i="27"/>
  <c r="FB20" i="27"/>
  <c r="FA18" i="27"/>
  <c r="FD8" i="27"/>
  <c r="FD16" i="27"/>
  <c r="FD17" i="27"/>
  <c r="FA21" i="27"/>
  <c r="FA20" i="27"/>
  <c r="EZ41" i="27"/>
  <c r="EZ42" i="27"/>
  <c r="EZ43" i="27"/>
  <c r="EZ9" i="27"/>
  <c r="EZ22" i="27"/>
  <c r="EZ40" i="27"/>
  <c r="EZ10" i="27"/>
  <c r="EZ19" i="27"/>
  <c r="EZ27" i="27"/>
  <c r="EZ26" i="27"/>
  <c r="EZ25" i="27"/>
  <c r="EZ39" i="27"/>
  <c r="EZ24" i="27"/>
  <c r="EZ35" i="27"/>
  <c r="EZ23" i="27"/>
  <c r="EZ36" i="27"/>
  <c r="EZ34" i="27"/>
  <c r="EZ31" i="27"/>
  <c r="EZ38" i="27"/>
  <c r="EZ37" i="27"/>
  <c r="EZ28" i="27"/>
  <c r="EZ29" i="27"/>
  <c r="EZ30" i="27"/>
  <c r="EZ33" i="27"/>
  <c r="EZ32" i="27"/>
  <c r="EZ21" i="27"/>
  <c r="EX14" i="27"/>
  <c r="FB15" i="27"/>
  <c r="FD13" i="27"/>
  <c r="FD12" i="27"/>
  <c r="EZ13" i="27"/>
  <c r="FB16" i="27"/>
  <c r="EY9" i="27"/>
  <c r="EY40" i="27"/>
  <c r="EY22" i="27"/>
  <c r="EY10" i="27"/>
  <c r="EY41" i="27"/>
  <c r="EY42" i="27"/>
  <c r="EY43" i="27"/>
  <c r="EY19" i="27"/>
  <c r="EY37" i="27"/>
  <c r="EY35" i="27"/>
  <c r="EY33" i="27"/>
  <c r="EY38" i="27"/>
  <c r="EY39" i="27"/>
  <c r="EY30" i="27"/>
  <c r="EY23" i="27"/>
  <c r="EY32" i="27"/>
  <c r="EY34" i="27"/>
  <c r="EY27" i="27"/>
  <c r="EY24" i="27"/>
  <c r="EY29" i="27"/>
  <c r="EY26" i="27"/>
  <c r="EY31" i="27"/>
  <c r="EY25" i="27"/>
  <c r="EY36" i="27"/>
  <c r="EY28" i="27"/>
  <c r="EX20" i="27"/>
  <c r="FD14" i="27"/>
  <c r="FE16" i="27"/>
  <c r="EY11" i="27"/>
  <c r="FB12" i="27"/>
  <c r="EX13" i="27"/>
  <c r="EY8" i="27"/>
  <c r="FE8" i="27"/>
  <c r="FE12" i="27"/>
  <c r="EZ20" i="27"/>
  <c r="FB21" i="27"/>
  <c r="FA40" i="27"/>
  <c r="FA22" i="27"/>
  <c r="FA10" i="27"/>
  <c r="FA41" i="27"/>
  <c r="FA42" i="27"/>
  <c r="FA43" i="27"/>
  <c r="FA9" i="27"/>
  <c r="FA19" i="27"/>
  <c r="FA39" i="27"/>
  <c r="FA35" i="27"/>
  <c r="FA31" i="27"/>
  <c r="FA30" i="27"/>
  <c r="FA29" i="27"/>
  <c r="FA34" i="27"/>
  <c r="FA23" i="27"/>
  <c r="FA26" i="27"/>
  <c r="FA38" i="27"/>
  <c r="FA36" i="27"/>
  <c r="FA33" i="27"/>
  <c r="FA24" i="27"/>
  <c r="FA28" i="27"/>
  <c r="FA27" i="27"/>
  <c r="FA32" i="27"/>
  <c r="FA37" i="27"/>
  <c r="FA25" i="27"/>
  <c r="FE42" i="27"/>
  <c r="FE36" i="27"/>
  <c r="FE30" i="27"/>
  <c r="FE24" i="27"/>
  <c r="FE43" i="27"/>
  <c r="FE37" i="27"/>
  <c r="FE31" i="27"/>
  <c r="FE25" i="27"/>
  <c r="FE38" i="27"/>
  <c r="FE32" i="27"/>
  <c r="FE26" i="27"/>
  <c r="FE39" i="27"/>
  <c r="FE33" i="27"/>
  <c r="FE27" i="27"/>
  <c r="FE9" i="27"/>
  <c r="FE41" i="27"/>
  <c r="FE35" i="27"/>
  <c r="FE29" i="27"/>
  <c r="FE23" i="27"/>
  <c r="FE22" i="27"/>
  <c r="FE40" i="27"/>
  <c r="FE34" i="27"/>
  <c r="FE10" i="27"/>
  <c r="FE28" i="27"/>
  <c r="FE19" i="27"/>
  <c r="EY15" i="27"/>
  <c r="FE13" i="27"/>
  <c r="FA12" i="27"/>
  <c r="FE21" i="27"/>
  <c r="EY18" i="27"/>
  <c r="FE18" i="27"/>
  <c r="FD43" i="27"/>
  <c r="FD37" i="27"/>
  <c r="FD31" i="27"/>
  <c r="FD25" i="27"/>
  <c r="FD38" i="27"/>
  <c r="FD32" i="27"/>
  <c r="FD26" i="27"/>
  <c r="FD39" i="27"/>
  <c r="FD33" i="27"/>
  <c r="FD27" i="27"/>
  <c r="FD9" i="27"/>
  <c r="FD40" i="27"/>
  <c r="FD34" i="27"/>
  <c r="FD28" i="27"/>
  <c r="FD22" i="27"/>
  <c r="FD10" i="27"/>
  <c r="FD41" i="27"/>
  <c r="FD35" i="27"/>
  <c r="FD29" i="27"/>
  <c r="FD23" i="27"/>
  <c r="FD36" i="27"/>
  <c r="FD30" i="27"/>
  <c r="FD24" i="27"/>
  <c r="FD42" i="27"/>
  <c r="FD19" i="27"/>
  <c r="FA15" i="27"/>
  <c r="FE14" i="27"/>
  <c r="FB8" i="27"/>
  <c r="EZ18" i="27"/>
  <c r="EY21" i="27"/>
  <c r="EZ16" i="27"/>
  <c r="FE20" i="27"/>
  <c r="EX40" i="27"/>
  <c r="EX22" i="27"/>
  <c r="EX10" i="27"/>
  <c r="EX41" i="27"/>
  <c r="EX42" i="27"/>
  <c r="EX43" i="27"/>
  <c r="EX9" i="27"/>
  <c r="EX19" i="27"/>
  <c r="EX34" i="27"/>
  <c r="EX26" i="27"/>
  <c r="EX35" i="27"/>
  <c r="EX36" i="27"/>
  <c r="EX32" i="27"/>
  <c r="EX24" i="27"/>
  <c r="EX27" i="27"/>
  <c r="EX28" i="27"/>
  <c r="EX39" i="27"/>
  <c r="EX29" i="27"/>
  <c r="EX23" i="27"/>
  <c r="EX33" i="27"/>
  <c r="EX37" i="27"/>
  <c r="EX31" i="27"/>
  <c r="EX38" i="27"/>
  <c r="EX25" i="27"/>
  <c r="EX30" i="27"/>
  <c r="FC41" i="27"/>
  <c r="FC35" i="27"/>
  <c r="FC29" i="27"/>
  <c r="FC23" i="27"/>
  <c r="FC42" i="27"/>
  <c r="FC36" i="27"/>
  <c r="FC30" i="27"/>
  <c r="FC24" i="27"/>
  <c r="FC43" i="27"/>
  <c r="FC37" i="27"/>
  <c r="FC31" i="27"/>
  <c r="FC25" i="27"/>
  <c r="FC38" i="27"/>
  <c r="FC32" i="27"/>
  <c r="FC26" i="27"/>
  <c r="FC40" i="27"/>
  <c r="FC34" i="27"/>
  <c r="FC28" i="27"/>
  <c r="FC22" i="27"/>
  <c r="FC10" i="27"/>
  <c r="FC27" i="27"/>
  <c r="FC39" i="27"/>
  <c r="FC33" i="27"/>
  <c r="FC9" i="27"/>
  <c r="FC19" i="27"/>
  <c r="FD18" i="27"/>
  <c r="FC18" i="27"/>
  <c r="FB11" i="27"/>
  <c r="FB13" i="27"/>
  <c r="EY13" i="27"/>
  <c r="EZ15" i="27"/>
  <c r="EY16" i="27"/>
  <c r="FB17" i="27"/>
  <c r="J87" i="12"/>
  <c r="K164" i="12"/>
  <c r="K193" i="12" s="1"/>
  <c r="K143" i="12"/>
  <c r="H88" i="12"/>
  <c r="K87" i="12"/>
  <c r="H87" i="12"/>
  <c r="I87" i="12"/>
  <c r="J88" i="12"/>
  <c r="I88" i="12"/>
  <c r="K88" i="12"/>
  <c r="K64" i="36"/>
  <c r="J27" i="35" s="1"/>
  <c r="J28" i="35" s="1"/>
  <c r="J223" i="36" s="1"/>
  <c r="BB46" i="1"/>
  <c r="AT46" i="1"/>
  <c r="BC46" i="1"/>
  <c r="BD46" i="1"/>
  <c r="AS46" i="1"/>
  <c r="AR46" i="1"/>
  <c r="AQ46" i="1"/>
  <c r="BE46" i="1"/>
  <c r="L23" i="35"/>
  <c r="K15" i="38" s="1"/>
  <c r="L63" i="36"/>
  <c r="J9" i="38" s="1"/>
  <c r="BE53" i="1"/>
  <c r="AT53" i="1"/>
  <c r="DF44" i="27"/>
  <c r="DG44" i="27"/>
  <c r="DE44" i="27"/>
  <c r="C28" i="7"/>
  <c r="L64" i="36" l="1"/>
  <c r="K27" i="35" s="1"/>
  <c r="K28" i="35" s="1"/>
  <c r="K223" i="36" s="1"/>
  <c r="M63" i="36"/>
  <c r="K9" i="38" s="1"/>
  <c r="M23" i="35"/>
  <c r="L15" i="38" s="1"/>
  <c r="R42" i="1"/>
  <c r="S42" i="1"/>
  <c r="T42" i="1"/>
  <c r="DH44" i="27"/>
  <c r="DI44" i="27"/>
  <c r="G18" i="12" l="1"/>
  <c r="T52" i="1"/>
  <c r="F18" i="12"/>
  <c r="S52" i="1"/>
  <c r="F58" i="12" s="1"/>
  <c r="E18" i="12"/>
  <c r="R52" i="1"/>
  <c r="E58" i="12" s="1"/>
  <c r="M64" i="36"/>
  <c r="L27" i="35" s="1"/>
  <c r="L28" i="35" s="1"/>
  <c r="L223" i="36" s="1"/>
  <c r="G58" i="12"/>
  <c r="R45" i="1"/>
  <c r="R51" i="1"/>
  <c r="E26" i="12" s="1"/>
  <c r="N23" i="35"/>
  <c r="M15" i="38" s="1"/>
  <c r="N63" i="36"/>
  <c r="L9" i="38" s="1"/>
  <c r="S51" i="1"/>
  <c r="F26" i="12" s="1"/>
  <c r="S45" i="1"/>
  <c r="T45" i="1"/>
  <c r="T51" i="1"/>
  <c r="G26" i="12" s="1"/>
  <c r="U42" i="1"/>
  <c r="H5" i="29"/>
  <c r="H6" i="29"/>
  <c r="H7" i="29"/>
  <c r="H8" i="29"/>
  <c r="J8" i="29"/>
  <c r="H9" i="29"/>
  <c r="H10" i="29"/>
  <c r="H11" i="29"/>
  <c r="H12" i="29"/>
  <c r="H13" i="29"/>
  <c r="H14" i="29"/>
  <c r="H15" i="29"/>
  <c r="H16" i="29"/>
  <c r="H17" i="29"/>
  <c r="H18" i="29"/>
  <c r="H18" i="12" l="1"/>
  <c r="U52" i="1"/>
  <c r="F85" i="12"/>
  <c r="N64" i="36"/>
  <c r="M27" i="35" s="1"/>
  <c r="M28" i="35" s="1"/>
  <c r="M223" i="36" s="1"/>
  <c r="E85" i="12"/>
  <c r="G85" i="12"/>
  <c r="T46" i="1"/>
  <c r="S46" i="1"/>
  <c r="H58" i="12"/>
  <c r="R46" i="1"/>
  <c r="R53" i="1"/>
  <c r="K160" i="12"/>
  <c r="O63" i="36"/>
  <c r="M9" i="38" s="1"/>
  <c r="S53" i="1"/>
  <c r="U45" i="1"/>
  <c r="U51" i="1"/>
  <c r="H26" i="12" s="1"/>
  <c r="V42" i="1"/>
  <c r="T53" i="1"/>
  <c r="CN60" i="1"/>
  <c r="CQ60" i="1"/>
  <c r="B182" i="12"/>
  <c r="I18" i="12" l="1"/>
  <c r="V52" i="1"/>
  <c r="I58" i="12" s="1"/>
  <c r="O64" i="36"/>
  <c r="N27" i="35" s="1"/>
  <c r="N28" i="35" s="1"/>
  <c r="H85" i="12"/>
  <c r="U46" i="1"/>
  <c r="V45" i="1"/>
  <c r="V51" i="1"/>
  <c r="I26" i="12" s="1"/>
  <c r="W42" i="1"/>
  <c r="U53" i="1"/>
  <c r="CO60" i="1"/>
  <c r="CP60" i="1"/>
  <c r="J18" i="12" l="1"/>
  <c r="W52" i="1"/>
  <c r="O223" i="36"/>
  <c r="N223" i="36"/>
  <c r="I85" i="12"/>
  <c r="J58" i="12"/>
  <c r="V46" i="1"/>
  <c r="W51" i="1"/>
  <c r="J26" i="12" s="1"/>
  <c r="W45" i="1"/>
  <c r="X42" i="1"/>
  <c r="V53" i="1"/>
  <c r="B200" i="12"/>
  <c r="B171" i="12"/>
  <c r="B160" i="12"/>
  <c r="AD32" i="1"/>
  <c r="AC32" i="1"/>
  <c r="AC49" i="1" s="1"/>
  <c r="AB32" i="1"/>
  <c r="AB49" i="1" s="1"/>
  <c r="AA32" i="1"/>
  <c r="AA49" i="1" s="1"/>
  <c r="Z32" i="1"/>
  <c r="Z49" i="1" s="1"/>
  <c r="D92" i="28"/>
  <c r="D95" i="28" s="1"/>
  <c r="K18" i="12" l="1"/>
  <c r="X52" i="1"/>
  <c r="C118" i="12"/>
  <c r="C117" i="12" s="1"/>
  <c r="D220" i="28"/>
  <c r="D223" i="28" s="1"/>
  <c r="J85" i="12"/>
  <c r="W46" i="1"/>
  <c r="K58" i="12"/>
  <c r="D61" i="1"/>
  <c r="D42" i="1"/>
  <c r="D52" i="1" s="1"/>
  <c r="AX42" i="1"/>
  <c r="AN42" i="1"/>
  <c r="AY42" i="1"/>
  <c r="AZ42" i="1"/>
  <c r="BA42" i="1"/>
  <c r="AO42" i="1"/>
  <c r="AP42" i="1"/>
  <c r="E92" i="28"/>
  <c r="E95" i="28" s="1"/>
  <c r="X45" i="1"/>
  <c r="X51" i="1"/>
  <c r="K26" i="12" s="1"/>
  <c r="W53" i="1"/>
  <c r="E21" i="12" l="1"/>
  <c r="AY52" i="1"/>
  <c r="G20" i="12"/>
  <c r="AP52" i="1"/>
  <c r="G60" i="12" s="1"/>
  <c r="F20" i="12"/>
  <c r="AO52" i="1"/>
  <c r="F60" i="12" s="1"/>
  <c r="E20" i="12"/>
  <c r="AN52" i="1"/>
  <c r="E60" i="12" s="1"/>
  <c r="D21" i="12"/>
  <c r="AX52" i="1"/>
  <c r="D61" i="12" s="1"/>
  <c r="G21" i="12"/>
  <c r="BA52" i="1"/>
  <c r="G61" i="12" s="1"/>
  <c r="F21" i="12"/>
  <c r="AZ52" i="1"/>
  <c r="D118" i="12"/>
  <c r="D117" i="12" s="1"/>
  <c r="E220" i="28"/>
  <c r="E223" i="28" s="1"/>
  <c r="K85" i="12"/>
  <c r="F61" i="12"/>
  <c r="X46" i="1"/>
  <c r="D75" i="1"/>
  <c r="E61" i="12"/>
  <c r="AP51" i="1"/>
  <c r="G28" i="12" s="1"/>
  <c r="AP45" i="1"/>
  <c r="BA45" i="1"/>
  <c r="BA51" i="1"/>
  <c r="G29" i="12" s="1"/>
  <c r="F92" i="28"/>
  <c r="F95" i="28" s="1"/>
  <c r="X53" i="1"/>
  <c r="I160" i="12"/>
  <c r="J160" i="12"/>
  <c r="H160" i="12"/>
  <c r="G160" i="12"/>
  <c r="CR60" i="1"/>
  <c r="E118" i="12" l="1"/>
  <c r="E117" i="12" s="1"/>
  <c r="F220" i="28"/>
  <c r="F223" i="28" s="1"/>
  <c r="G87" i="12"/>
  <c r="G88" i="12"/>
  <c r="AP46" i="1"/>
  <c r="BA46" i="1"/>
  <c r="G92" i="28"/>
  <c r="G95" i="28" s="1"/>
  <c r="B113" i="28"/>
  <c r="B95" i="28"/>
  <c r="B167" i="28" s="1"/>
  <c r="B185" i="28" s="1"/>
  <c r="B115" i="12"/>
  <c r="B95" i="12"/>
  <c r="B68" i="12"/>
  <c r="B51" i="12"/>
  <c r="F118" i="12" l="1"/>
  <c r="F117" i="12" s="1"/>
  <c r="G220" i="28"/>
  <c r="G223" i="28" s="1"/>
  <c r="H92" i="28"/>
  <c r="H95" i="28" s="1"/>
  <c r="B131" i="28"/>
  <c r="B149" i="28" s="1"/>
  <c r="B77" i="28" s="1"/>
  <c r="B203" i="28"/>
  <c r="G118" i="12" l="1"/>
  <c r="G117" i="12" s="1"/>
  <c r="H220" i="28"/>
  <c r="H223" i="28" s="1"/>
  <c r="B41" i="28"/>
  <c r="B59" i="28"/>
  <c r="I92" i="28"/>
  <c r="I95" i="28" s="1"/>
  <c r="B223" i="28"/>
  <c r="C47" i="7"/>
  <c r="CI50" i="27"/>
  <c r="C34" i="7"/>
  <c r="C37" i="7"/>
  <c r="C27" i="7"/>
  <c r="C25" i="7"/>
  <c r="EA8" i="27"/>
  <c r="H118" i="12" l="1"/>
  <c r="H117" i="12" s="1"/>
  <c r="I220" i="28"/>
  <c r="I223" i="28" s="1"/>
  <c r="C226" i="12"/>
  <c r="E63" i="17"/>
  <c r="J92" i="28"/>
  <c r="J95" i="28" s="1"/>
  <c r="C23" i="7"/>
  <c r="EA44" i="27"/>
  <c r="D23" i="7"/>
  <c r="EC44" i="27"/>
  <c r="ED44" i="27"/>
  <c r="EE44" i="27"/>
  <c r="C35" i="7"/>
  <c r="C36" i="7"/>
  <c r="C31" i="7"/>
  <c r="C26" i="7"/>
  <c r="C32" i="7"/>
  <c r="C33" i="7"/>
  <c r="C30" i="7"/>
  <c r="FS8" i="27"/>
  <c r="I118" i="12" l="1"/>
  <c r="I117" i="12" s="1"/>
  <c r="J220" i="28"/>
  <c r="J223" i="28" s="1"/>
  <c r="C227" i="12"/>
  <c r="D225" i="12"/>
  <c r="D63" i="17"/>
  <c r="F63" i="17"/>
  <c r="K92" i="28"/>
  <c r="K95" i="28" s="1"/>
  <c r="H38" i="7"/>
  <c r="AP61" i="1"/>
  <c r="BB61" i="1"/>
  <c r="BC61" i="1"/>
  <c r="AS61" i="1"/>
  <c r="AR61" i="1"/>
  <c r="BD61" i="1"/>
  <c r="AQ61" i="1"/>
  <c r="BA61" i="1"/>
  <c r="C111" i="12"/>
  <c r="D111" i="12"/>
  <c r="D126" i="12" s="1"/>
  <c r="FS44" i="27"/>
  <c r="CI52" i="27"/>
  <c r="D6" i="48"/>
  <c r="EA50" i="27"/>
  <c r="CI53" i="27" s="1"/>
  <c r="EW8" i="27"/>
  <c r="DE50" i="27"/>
  <c r="EF46" i="27" l="1"/>
  <c r="G35" i="12"/>
  <c r="J118" i="12"/>
  <c r="J117" i="12" s="1"/>
  <c r="K220" i="28"/>
  <c r="K223" i="28" s="1"/>
  <c r="D226" i="12"/>
  <c r="I38" i="7"/>
  <c r="J38" i="7"/>
  <c r="G63" i="17"/>
  <c r="L92" i="28"/>
  <c r="L95" i="28" s="1"/>
  <c r="D6" i="60" s="1"/>
  <c r="D8" i="60" s="1"/>
  <c r="FX44" i="27"/>
  <c r="FY44" i="27"/>
  <c r="BC53" i="1"/>
  <c r="AR53" i="1"/>
  <c r="AQ53" i="1"/>
  <c r="BD53" i="1"/>
  <c r="BB53" i="1"/>
  <c r="AS53" i="1"/>
  <c r="AP53" i="1"/>
  <c r="BA53" i="1"/>
  <c r="E111" i="12"/>
  <c r="E126" i="12" s="1"/>
  <c r="FW44" i="27"/>
  <c r="C41" i="7"/>
  <c r="CM52" i="27"/>
  <c r="EE50" i="27"/>
  <c r="CM53" i="27" s="1"/>
  <c r="CM50" i="27"/>
  <c r="DI50" i="27"/>
  <c r="DF50" i="27"/>
  <c r="EG46" i="27" l="1"/>
  <c r="H35" i="12"/>
  <c r="EH46" i="27"/>
  <c r="I35" i="12"/>
  <c r="K118" i="12"/>
  <c r="K117" i="12" s="1"/>
  <c r="L220" i="28"/>
  <c r="L223" i="28" s="1"/>
  <c r="D227" i="12"/>
  <c r="E225" i="12"/>
  <c r="E226" i="12" s="1"/>
  <c r="I63" i="17"/>
  <c r="I66" i="17" s="1"/>
  <c r="H63" i="17"/>
  <c r="I41" i="7"/>
  <c r="H67" i="12" s="1"/>
  <c r="H41" i="7"/>
  <c r="G67" i="12" s="1"/>
  <c r="FZ44" i="27"/>
  <c r="F111" i="12"/>
  <c r="F126" i="12" s="1"/>
  <c r="G41" i="7"/>
  <c r="F67" i="12" s="1"/>
  <c r="FV44" i="27"/>
  <c r="FU44" i="27"/>
  <c r="FW46" i="27" l="1"/>
  <c r="FY46" i="27"/>
  <c r="FX46" i="27"/>
  <c r="K38" i="7"/>
  <c r="E227" i="12"/>
  <c r="F225" i="12"/>
  <c r="F226" i="12" s="1"/>
  <c r="H34" i="12"/>
  <c r="H94" i="12"/>
  <c r="G34" i="12"/>
  <c r="G94" i="12"/>
  <c r="J68" i="35"/>
  <c r="J70" i="35" s="1"/>
  <c r="G66" i="12"/>
  <c r="I68" i="35"/>
  <c r="I70" i="35" s="1"/>
  <c r="F66" i="12"/>
  <c r="K68" i="35"/>
  <c r="K70" i="35" s="1"/>
  <c r="H66" i="12"/>
  <c r="J6" i="48"/>
  <c r="I6" i="48"/>
  <c r="J41" i="7"/>
  <c r="I67" i="12" s="1"/>
  <c r="GA44" i="27"/>
  <c r="GB44" i="27"/>
  <c r="H44" i="7"/>
  <c r="G111" i="12"/>
  <c r="E41" i="7"/>
  <c r="D67" i="12" s="1"/>
  <c r="F41" i="7"/>
  <c r="E67" i="12" s="1"/>
  <c r="ED50" i="27"/>
  <c r="CL53" i="27" s="1"/>
  <c r="CL52" i="27"/>
  <c r="EC50" i="27"/>
  <c r="CK53" i="27" s="1"/>
  <c r="CK52" i="27"/>
  <c r="DG50" i="27"/>
  <c r="CK50" i="27"/>
  <c r="DH50" i="27"/>
  <c r="CL50" i="27"/>
  <c r="EI46" i="27" l="1"/>
  <c r="J35" i="12"/>
  <c r="FZ46" i="27"/>
  <c r="FV46" i="27"/>
  <c r="FU46" i="27"/>
  <c r="G225" i="12"/>
  <c r="G226" i="12" s="1"/>
  <c r="F227" i="12"/>
  <c r="I34" i="12"/>
  <c r="I94" i="12"/>
  <c r="G93" i="12"/>
  <c r="H93" i="12"/>
  <c r="G68" i="35"/>
  <c r="G70" i="35" s="1"/>
  <c r="D66" i="12"/>
  <c r="L68" i="35"/>
  <c r="L70" i="35" s="1"/>
  <c r="I66" i="12"/>
  <c r="H68" i="35"/>
  <c r="H70" i="35" s="1"/>
  <c r="E66" i="12"/>
  <c r="K6" i="48"/>
  <c r="L38" i="7"/>
  <c r="L41" i="7"/>
  <c r="K67" i="12" s="1"/>
  <c r="J63" i="17"/>
  <c r="J66" i="17" s="1"/>
  <c r="K63" i="17"/>
  <c r="K66" i="17" s="1"/>
  <c r="E227" i="28"/>
  <c r="K41" i="7"/>
  <c r="J67" i="12" s="1"/>
  <c r="I44" i="7"/>
  <c r="H111" i="12"/>
  <c r="CL55" i="27"/>
  <c r="CL56" i="27" s="1"/>
  <c r="CM55" i="27"/>
  <c r="CM56" i="27" s="1"/>
  <c r="D14" i="9"/>
  <c r="D46" i="9" s="1"/>
  <c r="D36" i="9" s="1"/>
  <c r="EJ46" i="27" l="1"/>
  <c r="K35" i="12"/>
  <c r="GB46" i="27"/>
  <c r="GA46" i="27"/>
  <c r="G227" i="12"/>
  <c r="H225" i="12"/>
  <c r="H226" i="12" s="1"/>
  <c r="J34" i="12"/>
  <c r="J94" i="12"/>
  <c r="I93" i="12"/>
  <c r="N68" i="35"/>
  <c r="N70" i="35" s="1"/>
  <c r="K66" i="12"/>
  <c r="M68" i="35"/>
  <c r="M70" i="35" s="1"/>
  <c r="J66" i="12"/>
  <c r="L6" i="48"/>
  <c r="M63" i="17"/>
  <c r="M66" i="17" s="1"/>
  <c r="D125" i="12"/>
  <c r="L63" i="17"/>
  <c r="L66" i="17" s="1"/>
  <c r="E47" i="7"/>
  <c r="I111" i="12"/>
  <c r="J44" i="7"/>
  <c r="H227" i="12" l="1"/>
  <c r="I225" i="12"/>
  <c r="I226" i="12" s="1"/>
  <c r="K34" i="12"/>
  <c r="K93" i="12" s="1"/>
  <c r="K94" i="12"/>
  <c r="J93" i="12"/>
  <c r="M6" i="48"/>
  <c r="K111" i="12"/>
  <c r="G227" i="28"/>
  <c r="J111" i="12"/>
  <c r="L44" i="7"/>
  <c r="K44" i="7"/>
  <c r="F125" i="12"/>
  <c r="G47" i="7"/>
  <c r="E125" i="12"/>
  <c r="F47" i="7"/>
  <c r="B92" i="12"/>
  <c r="B91" i="12"/>
  <c r="B90" i="12"/>
  <c r="B88" i="12"/>
  <c r="B87" i="12"/>
  <c r="B86" i="12"/>
  <c r="B65" i="12"/>
  <c r="B64" i="12"/>
  <c r="B63" i="12"/>
  <c r="B61" i="12"/>
  <c r="B60" i="12"/>
  <c r="B57" i="12"/>
  <c r="BK38" i="1"/>
  <c r="BK44" i="1" s="1"/>
  <c r="BJ38" i="1"/>
  <c r="BJ44" i="1" s="1"/>
  <c r="BI38" i="1"/>
  <c r="BI44" i="1" s="1"/>
  <c r="BH38" i="1"/>
  <c r="BH44" i="1" s="1"/>
  <c r="J225" i="12" l="1"/>
  <c r="J226" i="12" s="1"/>
  <c r="I227" i="12"/>
  <c r="H227" i="28"/>
  <c r="BJ42" i="1"/>
  <c r="BJ52" i="1" s="1"/>
  <c r="D58" i="24"/>
  <c r="D59" i="24"/>
  <c r="BG61" i="1"/>
  <c r="J227" i="12" l="1"/>
  <c r="K225" i="12"/>
  <c r="K226" i="12" s="1"/>
  <c r="K227" i="12" s="1"/>
  <c r="E63" i="12"/>
  <c r="BJ51" i="1"/>
  <c r="H113" i="12"/>
  <c r="BK42" i="1"/>
  <c r="BL46" i="1"/>
  <c r="H47" i="7"/>
  <c r="H50" i="7" s="1"/>
  <c r="K135" i="12"/>
  <c r="K169" i="12" s="1"/>
  <c r="K198" i="12" s="1"/>
  <c r="I227" i="28"/>
  <c r="BH61" i="1"/>
  <c r="BH42" i="1"/>
  <c r="BH52" i="1" s="1"/>
  <c r="BI42" i="1"/>
  <c r="BI52" i="1" s="1"/>
  <c r="BJ45" i="1"/>
  <c r="BJ46" i="1" s="1"/>
  <c r="F57" i="24"/>
  <c r="BG42" i="1"/>
  <c r="BG52" i="1" s="1"/>
  <c r="B7" i="25"/>
  <c r="B8" i="25" s="1"/>
  <c r="B11" i="25" s="1"/>
  <c r="B12" i="25" s="1"/>
  <c r="F28" i="24"/>
  <c r="E28" i="24"/>
  <c r="D28" i="24"/>
  <c r="C28" i="24"/>
  <c r="G26" i="24"/>
  <c r="F26" i="24"/>
  <c r="E26" i="24"/>
  <c r="D26" i="24"/>
  <c r="C26" i="24"/>
  <c r="H125" i="12" l="1"/>
  <c r="H126" i="12"/>
  <c r="G57" i="24"/>
  <c r="BK52" i="1"/>
  <c r="F63" i="12" s="1"/>
  <c r="K250" i="12"/>
  <c r="K251" i="12" s="1"/>
  <c r="K254" i="12"/>
  <c r="BK45" i="1"/>
  <c r="BK46" i="1" s="1"/>
  <c r="G132" i="12"/>
  <c r="G145" i="12" s="1"/>
  <c r="G113" i="12"/>
  <c r="I47" i="7"/>
  <c r="I50" i="7" s="1"/>
  <c r="BG51" i="1"/>
  <c r="BK51" i="1"/>
  <c r="BI51" i="1"/>
  <c r="D63" i="12"/>
  <c r="BH45" i="1"/>
  <c r="BH46" i="1" s="1"/>
  <c r="C63" i="12"/>
  <c r="BH51" i="1"/>
  <c r="BJ53" i="1"/>
  <c r="E31" i="12"/>
  <c r="J227" i="28"/>
  <c r="K148" i="12"/>
  <c r="D57" i="24"/>
  <c r="E57" i="24"/>
  <c r="BI45" i="1"/>
  <c r="BI46" i="1" s="1"/>
  <c r="H132" i="12"/>
  <c r="V56" i="24"/>
  <c r="V26" i="24"/>
  <c r="F56" i="24"/>
  <c r="N26" i="24"/>
  <c r="N56" i="24"/>
  <c r="S56" i="24"/>
  <c r="C56" i="24"/>
  <c r="K26" i="24"/>
  <c r="S26" i="24"/>
  <c r="K56" i="24"/>
  <c r="H26" i="24"/>
  <c r="D56" i="24"/>
  <c r="L26" i="24"/>
  <c r="L56" i="24"/>
  <c r="T56" i="24"/>
  <c r="T26" i="24"/>
  <c r="O26" i="24"/>
  <c r="G56" i="24"/>
  <c r="W26" i="24"/>
  <c r="W56" i="24"/>
  <c r="O56" i="24"/>
  <c r="M56" i="24"/>
  <c r="U26" i="24"/>
  <c r="E56" i="24"/>
  <c r="U56" i="24"/>
  <c r="M26" i="24"/>
  <c r="BG45" i="1"/>
  <c r="BG46" i="1" s="1"/>
  <c r="C57" i="24"/>
  <c r="B13" i="25"/>
  <c r="B14" i="25" s="1"/>
  <c r="B15" i="25" s="1"/>
  <c r="B16" i="25" s="1"/>
  <c r="B17" i="25" s="1"/>
  <c r="B18" i="25" s="1"/>
  <c r="B21" i="25" s="1"/>
  <c r="B22" i="25" s="1"/>
  <c r="B23" i="25" s="1"/>
  <c r="B24" i="25" s="1"/>
  <c r="B25" i="25" s="1"/>
  <c r="B26" i="25" s="1"/>
  <c r="B29" i="25" s="1"/>
  <c r="B30" i="25" s="1"/>
  <c r="B31" i="25" s="1"/>
  <c r="K210" i="12" l="1"/>
  <c r="G125" i="12"/>
  <c r="G126" i="12"/>
  <c r="H166" i="12"/>
  <c r="H195" i="12" s="1"/>
  <c r="H236" i="12" s="1"/>
  <c r="H145" i="12"/>
  <c r="G166" i="12"/>
  <c r="G195" i="12" s="1"/>
  <c r="C31" i="12"/>
  <c r="C90" i="12" s="1"/>
  <c r="BH53" i="1"/>
  <c r="BI53" i="1"/>
  <c r="D31" i="12"/>
  <c r="BK53" i="1"/>
  <c r="F31" i="12"/>
  <c r="BG53" i="1"/>
  <c r="H57" i="24"/>
  <c r="I113" i="12"/>
  <c r="J47" i="7"/>
  <c r="K227" i="28"/>
  <c r="X26" i="24"/>
  <c r="X56" i="24"/>
  <c r="P56" i="24"/>
  <c r="H56" i="24"/>
  <c r="P26" i="24"/>
  <c r="B36" i="25"/>
  <c r="B37" i="25" s="1"/>
  <c r="B38" i="25" s="1"/>
  <c r="B39" i="25" s="1"/>
  <c r="B40" i="25" s="1"/>
  <c r="B41" i="25" s="1"/>
  <c r="B42" i="25" s="1"/>
  <c r="B43" i="25" s="1"/>
  <c r="B44" i="25" s="1"/>
  <c r="B45" i="25" s="1"/>
  <c r="B46" i="25" s="1"/>
  <c r="B49" i="25" s="1"/>
  <c r="B50" i="25" s="1"/>
  <c r="B51" i="25" s="1"/>
  <c r="B52" i="25" s="1"/>
  <c r="B53" i="25" s="1"/>
  <c r="B54" i="25" s="1"/>
  <c r="B55" i="25" s="1"/>
  <c r="B56" i="25" s="1"/>
  <c r="B57" i="25" s="1"/>
  <c r="B60" i="25" s="1"/>
  <c r="B61" i="25" s="1"/>
  <c r="B62" i="25" s="1"/>
  <c r="B63" i="25" s="1"/>
  <c r="B64" i="25" s="1"/>
  <c r="B67" i="25" s="1"/>
  <c r="B68" i="25" s="1"/>
  <c r="B69" i="25" s="1"/>
  <c r="B72" i="25" s="1"/>
  <c r="B73" i="25" s="1"/>
  <c r="B74" i="25" s="1"/>
  <c r="I125" i="12" l="1"/>
  <c r="I126" i="12"/>
  <c r="G236" i="12"/>
  <c r="J50" i="7"/>
  <c r="I132" i="12"/>
  <c r="K47" i="7"/>
  <c r="J113" i="12"/>
  <c r="L227" i="28"/>
  <c r="J125" i="12" l="1"/>
  <c r="J126" i="12"/>
  <c r="I166" i="12"/>
  <c r="I195" i="12" s="1"/>
  <c r="I236" i="12" s="1"/>
  <c r="I145" i="12"/>
  <c r="K50" i="7"/>
  <c r="L47" i="7"/>
  <c r="K113" i="12"/>
  <c r="J132" i="12"/>
  <c r="B117" i="12"/>
  <c r="B114" i="12"/>
  <c r="B111" i="12"/>
  <c r="B97" i="12"/>
  <c r="B94" i="12"/>
  <c r="B83" i="12"/>
  <c r="B70" i="12"/>
  <c r="B67" i="12"/>
  <c r="B56" i="12"/>
  <c r="B53" i="12"/>
  <c r="B50" i="12"/>
  <c r="B49" i="12"/>
  <c r="K125" i="12" l="1"/>
  <c r="K126" i="12"/>
  <c r="J166" i="12"/>
  <c r="J195" i="12" s="1"/>
  <c r="J236" i="12" s="1"/>
  <c r="J145" i="12"/>
  <c r="L50" i="7"/>
  <c r="K132" i="12"/>
  <c r="K166" i="12" l="1"/>
  <c r="K195" i="12" s="1"/>
  <c r="K236" i="12" s="1"/>
  <c r="K145" i="12"/>
  <c r="G54" i="17"/>
  <c r="H54" i="17"/>
  <c r="D54" i="17"/>
  <c r="F54" i="17"/>
  <c r="E54" i="17"/>
  <c r="D133" i="12" l="1"/>
  <c r="H7" i="48"/>
  <c r="F7" i="48"/>
  <c r="E7" i="48"/>
  <c r="E133" i="12"/>
  <c r="G7" i="48"/>
  <c r="D7" i="48"/>
  <c r="C133" i="12"/>
  <c r="G60" i="17"/>
  <c r="D60" i="17"/>
  <c r="D66" i="17" s="1"/>
  <c r="H60" i="17"/>
  <c r="F60" i="17"/>
  <c r="F66" i="17" s="1"/>
  <c r="E60" i="17"/>
  <c r="E66" i="17" s="1"/>
  <c r="C146" i="12" l="1"/>
  <c r="C167" i="12"/>
  <c r="C196" i="12" s="1"/>
  <c r="E146" i="12"/>
  <c r="E167" i="12"/>
  <c r="E196" i="12" s="1"/>
  <c r="D146" i="12"/>
  <c r="D167" i="12"/>
  <c r="D196" i="12" s="1"/>
  <c r="F133" i="12"/>
  <c r="G66" i="17"/>
  <c r="H66" i="17"/>
  <c r="D242" i="12" l="1"/>
  <c r="E242" i="12"/>
  <c r="C242" i="12"/>
  <c r="F146" i="12"/>
  <c r="F167" i="12"/>
  <c r="F196" i="12" s="1"/>
  <c r="G133" i="12"/>
  <c r="G167" i="12" s="1"/>
  <c r="G196" i="12" s="1"/>
  <c r="B137" i="12"/>
  <c r="B125" i="12"/>
  <c r="B107" i="12"/>
  <c r="B80" i="12"/>
  <c r="C97" i="12"/>
  <c r="D8" i="48"/>
  <c r="F242" i="12" l="1"/>
  <c r="G242" i="12"/>
  <c r="G146" i="12"/>
  <c r="G131" i="12"/>
  <c r="E8" i="48"/>
  <c r="F8" i="48"/>
  <c r="H8" i="48"/>
  <c r="C244" i="12"/>
  <c r="H133" i="12"/>
  <c r="H167" i="12" s="1"/>
  <c r="H196" i="12" s="1"/>
  <c r="K133" i="12"/>
  <c r="K167" i="12" s="1"/>
  <c r="K196" i="12" s="1"/>
  <c r="G165" i="12" l="1"/>
  <c r="G194" i="12" s="1"/>
  <c r="G144" i="12"/>
  <c r="K242" i="12"/>
  <c r="H242" i="12"/>
  <c r="H146" i="12"/>
  <c r="H131" i="12"/>
  <c r="K146" i="12"/>
  <c r="K131" i="12"/>
  <c r="C245" i="12"/>
  <c r="D243" i="12"/>
  <c r="D244" i="12" s="1"/>
  <c r="I133" i="12"/>
  <c r="I167" i="12" s="1"/>
  <c r="I196" i="12" s="1"/>
  <c r="G135" i="12"/>
  <c r="G169" i="12" s="1"/>
  <c r="C135" i="12"/>
  <c r="C169" i="12" s="1"/>
  <c r="C198" i="12" s="1"/>
  <c r="F135" i="12"/>
  <c r="F169" i="12" s="1"/>
  <c r="C38" i="7"/>
  <c r="F38" i="7"/>
  <c r="G38" i="7"/>
  <c r="E38" i="7"/>
  <c r="D135" i="12"/>
  <c r="D169" i="12" s="1"/>
  <c r="C209" i="12" l="1"/>
  <c r="EE46" i="27"/>
  <c r="F35" i="12"/>
  <c r="ED46" i="27"/>
  <c r="E35" i="12"/>
  <c r="EC46" i="27"/>
  <c r="D35" i="12"/>
  <c r="K165" i="12"/>
  <c r="K194" i="12" s="1"/>
  <c r="K144" i="12"/>
  <c r="H165" i="12"/>
  <c r="H194" i="12" s="1"/>
  <c r="H144" i="12"/>
  <c r="I242" i="12"/>
  <c r="G198" i="12"/>
  <c r="F198" i="12"/>
  <c r="D198" i="12"/>
  <c r="C250" i="12"/>
  <c r="D249" i="12" s="1"/>
  <c r="D250" i="12" s="1"/>
  <c r="C254" i="12"/>
  <c r="G148" i="12"/>
  <c r="D148" i="12"/>
  <c r="F148" i="12"/>
  <c r="C148" i="12"/>
  <c r="I146" i="12"/>
  <c r="I131" i="12"/>
  <c r="F44" i="7"/>
  <c r="G44" i="7"/>
  <c r="C44" i="7"/>
  <c r="E44" i="7"/>
  <c r="E2" i="7" s="1"/>
  <c r="D245" i="12"/>
  <c r="E243" i="12"/>
  <c r="E244" i="12" s="1"/>
  <c r="J133" i="12"/>
  <c r="J167" i="12" s="1"/>
  <c r="J196" i="12" s="1"/>
  <c r="H135" i="12"/>
  <c r="H169" i="12" s="1"/>
  <c r="CR44" i="1"/>
  <c r="CS46" i="1" s="1"/>
  <c r="CQ44" i="1"/>
  <c r="CP44" i="1"/>
  <c r="CO44" i="1"/>
  <c r="CN44" i="1"/>
  <c r="CF44" i="1"/>
  <c r="CE44" i="1"/>
  <c r="CD44" i="1"/>
  <c r="CC44" i="1"/>
  <c r="D209" i="12" l="1"/>
  <c r="E94" i="12"/>
  <c r="E132" i="12" s="1"/>
  <c r="G6" i="48"/>
  <c r="E34" i="12"/>
  <c r="E93" i="12" s="1"/>
  <c r="H6" i="48"/>
  <c r="F94" i="12"/>
  <c r="F132" i="12" s="1"/>
  <c r="F34" i="12"/>
  <c r="F93" i="12" s="1"/>
  <c r="D94" i="12"/>
  <c r="D132" i="12" s="1"/>
  <c r="F6" i="48"/>
  <c r="D34" i="12"/>
  <c r="D93" i="12" s="1"/>
  <c r="I165" i="12"/>
  <c r="I194" i="12" s="1"/>
  <c r="I144" i="12"/>
  <c r="C251" i="12"/>
  <c r="J242" i="12"/>
  <c r="D254" i="12"/>
  <c r="F254" i="12"/>
  <c r="G254" i="12"/>
  <c r="H198" i="12"/>
  <c r="E249" i="12"/>
  <c r="D251" i="12"/>
  <c r="H148" i="12"/>
  <c r="J146" i="12"/>
  <c r="J131" i="12"/>
  <c r="E50" i="7"/>
  <c r="C50" i="7"/>
  <c r="G50" i="7"/>
  <c r="F50" i="7"/>
  <c r="E245" i="12"/>
  <c r="F243" i="12"/>
  <c r="F244" i="12" s="1"/>
  <c r="I135" i="12"/>
  <c r="I169" i="12" s="1"/>
  <c r="CG44" i="1"/>
  <c r="CH46" i="1" s="1"/>
  <c r="U29" i="24"/>
  <c r="W29" i="24"/>
  <c r="T29" i="24"/>
  <c r="CC42" i="1"/>
  <c r="CC52" i="1" s="1"/>
  <c r="CP42" i="1"/>
  <c r="CD42" i="1"/>
  <c r="CD52" i="1" s="1"/>
  <c r="CQ42" i="1"/>
  <c r="CE42" i="1"/>
  <c r="CE52" i="1" s="1"/>
  <c r="CR42" i="1"/>
  <c r="CF42" i="1"/>
  <c r="CF52" i="1" s="1"/>
  <c r="CO42" i="1"/>
  <c r="V27" i="24"/>
  <c r="CN42" i="1"/>
  <c r="F227" i="28"/>
  <c r="AM42" i="1"/>
  <c r="AK42" i="1"/>
  <c r="AK52" i="1" s="1"/>
  <c r="E59" i="24"/>
  <c r="S29" i="24"/>
  <c r="O59" i="24"/>
  <c r="L29" i="24"/>
  <c r="D210" i="12" l="1"/>
  <c r="C210" i="12"/>
  <c r="E209" i="12"/>
  <c r="D20" i="12"/>
  <c r="AM52" i="1"/>
  <c r="F131" i="12"/>
  <c r="F166" i="12"/>
  <c r="F195" i="12" s="1"/>
  <c r="F236" i="12" s="1"/>
  <c r="F145" i="12"/>
  <c r="E131" i="12"/>
  <c r="E145" i="12"/>
  <c r="E166" i="12"/>
  <c r="E195" i="12" s="1"/>
  <c r="E236" i="12" s="1"/>
  <c r="D166" i="12"/>
  <c r="D195" i="12" s="1"/>
  <c r="D236" i="12" s="1"/>
  <c r="D145" i="12"/>
  <c r="D131" i="12"/>
  <c r="J165" i="12"/>
  <c r="J194" i="12" s="1"/>
  <c r="J144" i="12"/>
  <c r="H254" i="12"/>
  <c r="I198" i="12"/>
  <c r="I148" i="12"/>
  <c r="D60" i="12"/>
  <c r="AA42" i="1"/>
  <c r="AB42" i="1"/>
  <c r="C256" i="12"/>
  <c r="C257" i="12" s="1"/>
  <c r="F245" i="12"/>
  <c r="G243" i="12"/>
  <c r="G244" i="12" s="1"/>
  <c r="Z61" i="1"/>
  <c r="Z42" i="1"/>
  <c r="Z52" i="1" s="1"/>
  <c r="J135" i="12"/>
  <c r="J169" i="12" s="1"/>
  <c r="AA61" i="1"/>
  <c r="AB61" i="1"/>
  <c r="AX61" i="1"/>
  <c r="CN61" i="1"/>
  <c r="S59" i="24"/>
  <c r="AY61" i="1"/>
  <c r="V29" i="24"/>
  <c r="X29" i="24" s="1"/>
  <c r="AN61" i="1"/>
  <c r="N29" i="24"/>
  <c r="AK61" i="1"/>
  <c r="K29" i="24"/>
  <c r="CC61" i="1"/>
  <c r="K59" i="24"/>
  <c r="AM61" i="1"/>
  <c r="M29" i="24"/>
  <c r="AM45" i="1"/>
  <c r="M27" i="24"/>
  <c r="AO45" i="1"/>
  <c r="O27" i="24"/>
  <c r="AN45" i="1"/>
  <c r="N27" i="24"/>
  <c r="AK45" i="1"/>
  <c r="K27" i="24"/>
  <c r="CC45" i="1"/>
  <c r="CC46" i="1" s="1"/>
  <c r="K57" i="24"/>
  <c r="CN45" i="1"/>
  <c r="CN46" i="1" s="1"/>
  <c r="S57" i="24"/>
  <c r="CP61" i="1"/>
  <c r="U59" i="24"/>
  <c r="CQ45" i="1"/>
  <c r="CQ46" i="1" s="1"/>
  <c r="V57" i="24"/>
  <c r="CR61" i="1"/>
  <c r="W59" i="24"/>
  <c r="CQ61" i="1"/>
  <c r="V59" i="24"/>
  <c r="CP45" i="1"/>
  <c r="CP46" i="1" s="1"/>
  <c r="U57" i="24"/>
  <c r="CR45" i="1"/>
  <c r="CR46" i="1" s="1"/>
  <c r="W57" i="24"/>
  <c r="CO45" i="1"/>
  <c r="CO46" i="1" s="1"/>
  <c r="T57" i="24"/>
  <c r="CO61" i="1"/>
  <c r="T59" i="24"/>
  <c r="CF61" i="1"/>
  <c r="N59" i="24"/>
  <c r="CF45" i="1"/>
  <c r="CF46" i="1" s="1"/>
  <c r="N57" i="24"/>
  <c r="CE45" i="1"/>
  <c r="CE46" i="1" s="1"/>
  <c r="M57" i="24"/>
  <c r="CE61" i="1"/>
  <c r="M59" i="24"/>
  <c r="CD45" i="1"/>
  <c r="CD46" i="1" s="1"/>
  <c r="L57" i="24"/>
  <c r="CD61" i="1"/>
  <c r="L59" i="24"/>
  <c r="AO61" i="1"/>
  <c r="O29" i="24"/>
  <c r="C160" i="12"/>
  <c r="AZ61" i="1"/>
  <c r="AY51" i="1"/>
  <c r="E29" i="12" s="1"/>
  <c r="E88" i="12" s="1"/>
  <c r="AY45" i="1"/>
  <c r="AW61" i="1"/>
  <c r="AW42" i="1"/>
  <c r="BI61" i="1"/>
  <c r="AL61" i="1"/>
  <c r="U27" i="24"/>
  <c r="AL42" i="1"/>
  <c r="CG61" i="1"/>
  <c r="AV61" i="1"/>
  <c r="CG42" i="1"/>
  <c r="AV42" i="1"/>
  <c r="AV52" i="1" s="1"/>
  <c r="E64" i="12"/>
  <c r="CF51" i="1"/>
  <c r="E32" i="12" s="1"/>
  <c r="CD51" i="1"/>
  <c r="C64" i="12"/>
  <c r="CR51" i="1"/>
  <c r="F33" i="12" s="1"/>
  <c r="CR52" i="1"/>
  <c r="F65" i="12" s="1"/>
  <c r="CC51" i="1"/>
  <c r="CO52" i="1"/>
  <c r="C65" i="12" s="1"/>
  <c r="CO51" i="1"/>
  <c r="C33" i="12" s="1"/>
  <c r="CN52" i="1"/>
  <c r="CN51" i="1"/>
  <c r="CE51" i="1"/>
  <c r="D32" i="12" s="1"/>
  <c r="D64" i="12"/>
  <c r="CP52" i="1"/>
  <c r="D65" i="12" s="1"/>
  <c r="CP51" i="1"/>
  <c r="D33" i="12" s="1"/>
  <c r="CQ52" i="1"/>
  <c r="E65" i="12" s="1"/>
  <c r="CQ51" i="1"/>
  <c r="E33" i="12" s="1"/>
  <c r="AO51" i="1"/>
  <c r="F28" i="12" s="1"/>
  <c r="F87" i="12" s="1"/>
  <c r="AM51" i="1"/>
  <c r="D28" i="12" s="1"/>
  <c r="AN51" i="1"/>
  <c r="E28" i="12" s="1"/>
  <c r="E87" i="12" s="1"/>
  <c r="AK51" i="1"/>
  <c r="E58" i="24"/>
  <c r="F209" i="12" l="1"/>
  <c r="C211" i="12"/>
  <c r="D19" i="12"/>
  <c r="AB52" i="1"/>
  <c r="C19" i="12"/>
  <c r="AA52" i="1"/>
  <c r="C59" i="12" s="1"/>
  <c r="C21" i="12"/>
  <c r="AW52" i="1"/>
  <c r="C20" i="12"/>
  <c r="AL52" i="1"/>
  <c r="C60" i="12" s="1"/>
  <c r="E165" i="12"/>
  <c r="E194" i="12" s="1"/>
  <c r="E144" i="12"/>
  <c r="F144" i="12"/>
  <c r="F165" i="12"/>
  <c r="F194" i="12" s="1"/>
  <c r="D165" i="12"/>
  <c r="D194" i="12" s="1"/>
  <c r="D144" i="12"/>
  <c r="D87" i="12"/>
  <c r="O57" i="24"/>
  <c r="CG52" i="1"/>
  <c r="F64" i="12" s="1"/>
  <c r="I254" i="12"/>
  <c r="J198" i="12"/>
  <c r="J148" i="12"/>
  <c r="D90" i="12"/>
  <c r="C32" i="12"/>
  <c r="AY46" i="1"/>
  <c r="D59" i="12"/>
  <c r="AN46" i="1"/>
  <c r="AO46" i="1"/>
  <c r="AM46" i="1"/>
  <c r="C61" i="12"/>
  <c r="AW51" i="1"/>
  <c r="C29" i="12" s="1"/>
  <c r="AK46" i="1"/>
  <c r="AA45" i="1"/>
  <c r="S27" i="24"/>
  <c r="T27" i="24"/>
  <c r="L27" i="24"/>
  <c r="P27" i="24" s="1"/>
  <c r="AB45" i="1"/>
  <c r="Z45" i="1"/>
  <c r="Z51" i="1"/>
  <c r="D255" i="12"/>
  <c r="D256" i="12" s="1"/>
  <c r="D257" i="12" s="1"/>
  <c r="G245" i="12"/>
  <c r="H243" i="12"/>
  <c r="H244" i="12" s="1"/>
  <c r="AA51" i="1"/>
  <c r="C27" i="12" s="1"/>
  <c r="AB51" i="1"/>
  <c r="D27" i="12" s="1"/>
  <c r="P59" i="24"/>
  <c r="P29" i="24"/>
  <c r="X59" i="24"/>
  <c r="AZ45" i="1"/>
  <c r="W27" i="24"/>
  <c r="X57" i="24"/>
  <c r="P57" i="24"/>
  <c r="AY53" i="1"/>
  <c r="AX45" i="1"/>
  <c r="AW45" i="1"/>
  <c r="AX51" i="1"/>
  <c r="D29" i="12" s="1"/>
  <c r="D88" i="12" s="1"/>
  <c r="AV51" i="1"/>
  <c r="AV45" i="1"/>
  <c r="CG51" i="1"/>
  <c r="F32" i="12" s="1"/>
  <c r="CG45" i="1"/>
  <c r="CG46" i="1" s="1"/>
  <c r="AL51" i="1"/>
  <c r="C28" i="12" s="1"/>
  <c r="AL45" i="1"/>
  <c r="AZ51" i="1"/>
  <c r="F29" i="12" s="1"/>
  <c r="F88" i="12" s="1"/>
  <c r="CD53" i="1"/>
  <c r="CE53" i="1"/>
  <c r="CP53" i="1"/>
  <c r="CR53" i="1"/>
  <c r="CQ53" i="1"/>
  <c r="CC53" i="1"/>
  <c r="CN53" i="1"/>
  <c r="CF53" i="1"/>
  <c r="CO53" i="1"/>
  <c r="AO53" i="1"/>
  <c r="AN53" i="1"/>
  <c r="AM53" i="1"/>
  <c r="AK53" i="1"/>
  <c r="F92" i="12"/>
  <c r="D92" i="12"/>
  <c r="E92" i="12"/>
  <c r="C92" i="12"/>
  <c r="E91" i="12"/>
  <c r="G209" i="12" l="1"/>
  <c r="D211" i="12"/>
  <c r="J254" i="12"/>
  <c r="D62" i="12"/>
  <c r="C87" i="12"/>
  <c r="D91" i="12"/>
  <c r="C30" i="12"/>
  <c r="C91" i="12"/>
  <c r="C62" i="12"/>
  <c r="C86" i="12"/>
  <c r="D86" i="12"/>
  <c r="C88" i="12"/>
  <c r="D30" i="12"/>
  <c r="AZ46" i="1"/>
  <c r="AB46" i="1"/>
  <c r="AX46" i="1"/>
  <c r="AV46" i="1"/>
  <c r="AL46" i="1"/>
  <c r="AW46" i="1"/>
  <c r="Z46" i="1"/>
  <c r="AA46" i="1"/>
  <c r="F64" i="35"/>
  <c r="F66" i="35" s="1"/>
  <c r="Z53" i="1"/>
  <c r="G64" i="35"/>
  <c r="G66" i="35" s="1"/>
  <c r="X27" i="24"/>
  <c r="AA53" i="1"/>
  <c r="E255" i="12"/>
  <c r="H245" i="12"/>
  <c r="I243" i="12"/>
  <c r="I244" i="12" s="1"/>
  <c r="AB53" i="1"/>
  <c r="CG53" i="1"/>
  <c r="AV53" i="1"/>
  <c r="AW53" i="1"/>
  <c r="E160" i="12"/>
  <c r="AX53" i="1"/>
  <c r="AZ53" i="1"/>
  <c r="AL53" i="1"/>
  <c r="F91" i="12"/>
  <c r="H209" i="12" l="1"/>
  <c r="D89" i="12"/>
  <c r="D130" i="12" s="1"/>
  <c r="D143" i="12" s="1"/>
  <c r="C89" i="12"/>
  <c r="C130" i="12" s="1"/>
  <c r="C164" i="12" s="1"/>
  <c r="C193" i="12" s="1"/>
  <c r="I245" i="12"/>
  <c r="J243" i="12"/>
  <c r="J244" i="12" s="1"/>
  <c r="F160" i="12"/>
  <c r="D160" i="12"/>
  <c r="I209" i="12" l="1"/>
  <c r="D164" i="12"/>
  <c r="D193" i="12" s="1"/>
  <c r="C143" i="12"/>
  <c r="J245" i="12"/>
  <c r="K243" i="12"/>
  <c r="K244" i="12" s="1"/>
  <c r="K245" i="12" s="1"/>
  <c r="K209" i="12" l="1"/>
  <c r="J209" i="12"/>
  <c r="E42" i="1"/>
  <c r="E52" i="1" s="1"/>
  <c r="C17" i="12" l="1"/>
  <c r="C16" i="12" s="1"/>
  <c r="E51" i="1"/>
  <c r="E75" i="1"/>
  <c r="F61" i="1"/>
  <c r="C27" i="24"/>
  <c r="D17" i="12"/>
  <c r="D16" i="12" s="1"/>
  <c r="G62" i="35" l="1"/>
  <c r="G71" i="35" s="1"/>
  <c r="G10" i="35" s="1"/>
  <c r="C57" i="12"/>
  <c r="C56" i="12" s="1"/>
  <c r="E61" i="1"/>
  <c r="F62" i="35" s="1"/>
  <c r="F75" i="1"/>
  <c r="E45" i="1"/>
  <c r="D27" i="24"/>
  <c r="C25" i="12"/>
  <c r="D51" i="1"/>
  <c r="D45" i="1"/>
  <c r="D46" i="1" s="1"/>
  <c r="C29" i="24"/>
  <c r="D29" i="24"/>
  <c r="E29" i="24"/>
  <c r="H40" i="48"/>
  <c r="H41" i="48" s="1"/>
  <c r="D57" i="12" l="1"/>
  <c r="D56" i="12" s="1"/>
  <c r="D80" i="12" s="1"/>
  <c r="C84" i="12"/>
  <c r="H38" i="1"/>
  <c r="E46" i="1"/>
  <c r="G61" i="1"/>
  <c r="I40" i="48"/>
  <c r="I41" i="48" s="1"/>
  <c r="E17" i="12"/>
  <c r="E16" i="12" s="1"/>
  <c r="F45" i="1"/>
  <c r="E27" i="24"/>
  <c r="D53" i="1"/>
  <c r="E53" i="1"/>
  <c r="D25" i="12"/>
  <c r="F29" i="24"/>
  <c r="F9" i="12" l="1"/>
  <c r="F8" i="12" s="1"/>
  <c r="H42" i="1"/>
  <c r="H49" i="1"/>
  <c r="G29" i="24" s="1"/>
  <c r="H29" i="24" s="1"/>
  <c r="H39" i="1"/>
  <c r="D84" i="12"/>
  <c r="C24" i="12"/>
  <c r="H48" i="1"/>
  <c r="I38" i="1"/>
  <c r="AD38" i="1"/>
  <c r="D5" i="48"/>
  <c r="D9" i="48" s="1"/>
  <c r="F46" i="1"/>
  <c r="J40" i="48"/>
  <c r="J41" i="48" s="1"/>
  <c r="AC42" i="1"/>
  <c r="F17" i="12"/>
  <c r="F16" i="12" s="1"/>
  <c r="G45" i="1"/>
  <c r="F27" i="24"/>
  <c r="F53" i="1"/>
  <c r="E25" i="12"/>
  <c r="E19" i="12" l="1"/>
  <c r="AC52" i="1"/>
  <c r="E59" i="12" s="1"/>
  <c r="H52" i="1"/>
  <c r="G9" i="12"/>
  <c r="G8" i="12" s="1"/>
  <c r="I42" i="1"/>
  <c r="G17" i="12" s="1"/>
  <c r="G16" i="12" s="1"/>
  <c r="H51" i="1"/>
  <c r="AD49" i="1"/>
  <c r="F11" i="12"/>
  <c r="I49" i="1"/>
  <c r="I39" i="1"/>
  <c r="E57" i="12"/>
  <c r="E84" i="12" s="1"/>
  <c r="G75" i="1"/>
  <c r="E5" i="48"/>
  <c r="C83" i="12"/>
  <c r="C129" i="12" s="1"/>
  <c r="C163" i="12" s="1"/>
  <c r="C192" i="12" s="1"/>
  <c r="D24" i="12"/>
  <c r="D83" i="12" s="1"/>
  <c r="AD48" i="1"/>
  <c r="I48" i="1"/>
  <c r="G28" i="24"/>
  <c r="H28" i="24" s="1"/>
  <c r="H61" i="1"/>
  <c r="AE38" i="1"/>
  <c r="J38" i="1"/>
  <c r="E43" i="35"/>
  <c r="G46" i="1"/>
  <c r="AC61" i="1"/>
  <c r="H62" i="35" s="1"/>
  <c r="K40" i="48"/>
  <c r="K41" i="48" s="1"/>
  <c r="AD42" i="1"/>
  <c r="G27" i="24"/>
  <c r="H27" i="24" s="1"/>
  <c r="F25" i="12"/>
  <c r="H45" i="1"/>
  <c r="AC51" i="1"/>
  <c r="E27" i="12" s="1"/>
  <c r="AC45" i="1"/>
  <c r="G53" i="1"/>
  <c r="I52" i="1" l="1"/>
  <c r="F19" i="12"/>
  <c r="AD52" i="1"/>
  <c r="H9" i="12"/>
  <c r="H8" i="12" s="1"/>
  <c r="J42" i="1"/>
  <c r="I51" i="1"/>
  <c r="AE49" i="1"/>
  <c r="AE61" i="1" s="1"/>
  <c r="G11" i="12"/>
  <c r="E56" i="12"/>
  <c r="J49" i="1"/>
  <c r="J39" i="1"/>
  <c r="F57" i="12"/>
  <c r="F84" i="12" s="1"/>
  <c r="H75" i="1"/>
  <c r="E86" i="12"/>
  <c r="D48" i="12"/>
  <c r="D51" i="12" s="1"/>
  <c r="D129" i="12"/>
  <c r="F5" i="48"/>
  <c r="F9" i="48" s="1"/>
  <c r="AE48" i="1"/>
  <c r="G79" i="35"/>
  <c r="G81" i="35" s="1"/>
  <c r="G41" i="35" s="1"/>
  <c r="G43" i="35" s="1"/>
  <c r="C142" i="12"/>
  <c r="AE42" i="1"/>
  <c r="I61" i="1"/>
  <c r="J48" i="1"/>
  <c r="AF38" i="1"/>
  <c r="K38" i="1"/>
  <c r="H46" i="1"/>
  <c r="AC46" i="1"/>
  <c r="E24" i="12"/>
  <c r="AD61" i="1"/>
  <c r="I62" i="35" s="1"/>
  <c r="F59" i="12"/>
  <c r="L40" i="48"/>
  <c r="L41" i="48" s="1"/>
  <c r="G25" i="12"/>
  <c r="I45" i="1"/>
  <c r="C218" i="12"/>
  <c r="H53" i="1"/>
  <c r="AC53" i="1"/>
  <c r="AD45" i="1"/>
  <c r="AD51" i="1"/>
  <c r="F27" i="12" s="1"/>
  <c r="AE52" i="1" l="1"/>
  <c r="J52" i="1"/>
  <c r="I9" i="12"/>
  <c r="I8" i="12" s="1"/>
  <c r="K42" i="1"/>
  <c r="J51" i="1"/>
  <c r="E83" i="12"/>
  <c r="AF49" i="1"/>
  <c r="AF61" i="1" s="1"/>
  <c r="H11" i="12"/>
  <c r="J45" i="1"/>
  <c r="J46" i="1" s="1"/>
  <c r="H17" i="12"/>
  <c r="H16" i="12" s="1"/>
  <c r="AE45" i="1"/>
  <c r="AE46" i="1" s="1"/>
  <c r="G19" i="12"/>
  <c r="J62" i="35"/>
  <c r="J71" i="35" s="1"/>
  <c r="J10" i="35" s="1"/>
  <c r="F56" i="12"/>
  <c r="G57" i="12"/>
  <c r="G84" i="12" s="1"/>
  <c r="I75" i="1"/>
  <c r="K49" i="1"/>
  <c r="K39" i="1"/>
  <c r="D137" i="12"/>
  <c r="D163" i="12"/>
  <c r="D52" i="12"/>
  <c r="F86" i="12"/>
  <c r="G74" i="35"/>
  <c r="G76" i="35" s="1"/>
  <c r="G9" i="35" s="1"/>
  <c r="D50" i="12"/>
  <c r="D107" i="12"/>
  <c r="D108" i="12" s="1"/>
  <c r="D49" i="12"/>
  <c r="D53" i="12"/>
  <c r="G59" i="12"/>
  <c r="AF48" i="1"/>
  <c r="AE51" i="1"/>
  <c r="G27" i="12" s="1"/>
  <c r="D142" i="12"/>
  <c r="J61" i="1"/>
  <c r="H25" i="12"/>
  <c r="K48" i="1"/>
  <c r="AG38" i="1"/>
  <c r="L38" i="1"/>
  <c r="AF42" i="1"/>
  <c r="I46" i="1"/>
  <c r="F24" i="12"/>
  <c r="AD46" i="1"/>
  <c r="M40" i="48"/>
  <c r="M41" i="48" s="1"/>
  <c r="I53" i="1"/>
  <c r="AD53" i="1"/>
  <c r="K52" i="1" l="1"/>
  <c r="AF52" i="1"/>
  <c r="J9" i="12"/>
  <c r="J8" i="12" s="1"/>
  <c r="L42" i="1"/>
  <c r="K51" i="1"/>
  <c r="D139" i="12"/>
  <c r="D138" i="12"/>
  <c r="D192" i="12"/>
  <c r="D218" i="12" s="1"/>
  <c r="AG49" i="1"/>
  <c r="AG61" i="1" s="1"/>
  <c r="I11" i="12"/>
  <c r="AF45" i="1"/>
  <c r="AF46" i="1" s="1"/>
  <c r="H19" i="12"/>
  <c r="F83" i="12"/>
  <c r="K45" i="1"/>
  <c r="K46" i="1" s="1"/>
  <c r="I17" i="12"/>
  <c r="I16" i="12" s="1"/>
  <c r="G56" i="12"/>
  <c r="G80" i="12" s="1"/>
  <c r="H57" i="12"/>
  <c r="H84" i="12" s="1"/>
  <c r="J75" i="1"/>
  <c r="L49" i="1"/>
  <c r="L39" i="1"/>
  <c r="K62" i="35"/>
  <c r="K71" i="35" s="1"/>
  <c r="K10" i="35" s="1"/>
  <c r="G86" i="12"/>
  <c r="AE53" i="1"/>
  <c r="G24" i="12"/>
  <c r="AG48" i="1"/>
  <c r="J53" i="1"/>
  <c r="AF51" i="1"/>
  <c r="H27" i="12" s="1"/>
  <c r="AG42" i="1"/>
  <c r="I25" i="12"/>
  <c r="L48" i="1"/>
  <c r="K61" i="1"/>
  <c r="AH38" i="1"/>
  <c r="M38" i="1"/>
  <c r="H59" i="12"/>
  <c r="C220" i="12"/>
  <c r="D219" i="12" s="1"/>
  <c r="D171" i="12"/>
  <c r="AG52" i="1" l="1"/>
  <c r="L52" i="1"/>
  <c r="K9" i="12"/>
  <c r="K8" i="12" s="1"/>
  <c r="M42" i="1"/>
  <c r="L51" i="1"/>
  <c r="H56" i="12"/>
  <c r="H80" i="12" s="1"/>
  <c r="AG45" i="1"/>
  <c r="AG46" i="1" s="1"/>
  <c r="I19" i="12"/>
  <c r="L45" i="1"/>
  <c r="L46" i="1" s="1"/>
  <c r="J17" i="12"/>
  <c r="J16" i="12" s="1"/>
  <c r="G83" i="12"/>
  <c r="AH49" i="1"/>
  <c r="AH61" i="1" s="1"/>
  <c r="J11" i="12"/>
  <c r="L62" i="35"/>
  <c r="L71" i="35" s="1"/>
  <c r="L10" i="35" s="1"/>
  <c r="I57" i="12"/>
  <c r="I84" i="12" s="1"/>
  <c r="K75" i="1"/>
  <c r="M49" i="1"/>
  <c r="M39" i="1"/>
  <c r="I5" i="48"/>
  <c r="I9" i="48" s="1"/>
  <c r="G48" i="12"/>
  <c r="G107" i="12" s="1"/>
  <c r="H86" i="12"/>
  <c r="H24" i="12"/>
  <c r="AH48" i="1"/>
  <c r="AF53" i="1"/>
  <c r="K53" i="1"/>
  <c r="I59" i="12"/>
  <c r="AG51" i="1"/>
  <c r="AH42" i="1"/>
  <c r="J25" i="12"/>
  <c r="L61" i="1"/>
  <c r="M48" i="1"/>
  <c r="AI38" i="1"/>
  <c r="K17" i="12"/>
  <c r="K16" i="12" s="1"/>
  <c r="J79" i="35"/>
  <c r="J81" i="35" s="1"/>
  <c r="J41" i="35" s="1"/>
  <c r="J43" i="35" s="1"/>
  <c r="C221" i="12"/>
  <c r="C205" i="12" s="1"/>
  <c r="D220" i="12"/>
  <c r="D221" i="12" s="1"/>
  <c r="D205" i="12" s="1"/>
  <c r="M52" i="1" l="1"/>
  <c r="J19" i="12"/>
  <c r="AH52" i="1"/>
  <c r="M51" i="1"/>
  <c r="K25" i="12" s="1"/>
  <c r="H83" i="12"/>
  <c r="AI49" i="1"/>
  <c r="AI61" i="1" s="1"/>
  <c r="K11" i="12"/>
  <c r="M62" i="35"/>
  <c r="M71" i="35" s="1"/>
  <c r="M10" i="35" s="1"/>
  <c r="I56" i="12"/>
  <c r="I80" i="12" s="1"/>
  <c r="J57" i="12"/>
  <c r="J84" i="12" s="1"/>
  <c r="L75" i="1"/>
  <c r="G52" i="12"/>
  <c r="AH51" i="1"/>
  <c r="J27" i="12" s="1"/>
  <c r="I27" i="12"/>
  <c r="I86" i="12" s="1"/>
  <c r="H48" i="12"/>
  <c r="J5" i="48"/>
  <c r="J9" i="48" s="1"/>
  <c r="AI48" i="1"/>
  <c r="AH45" i="1"/>
  <c r="AH46" i="1" s="1"/>
  <c r="G129" i="12"/>
  <c r="AG53" i="1"/>
  <c r="L53" i="1"/>
  <c r="J12" i="38"/>
  <c r="M61" i="1"/>
  <c r="AI42" i="1"/>
  <c r="M45" i="1"/>
  <c r="E219" i="12"/>
  <c r="J74" i="35"/>
  <c r="J76" i="35" s="1"/>
  <c r="J9" i="35" s="1"/>
  <c r="G49" i="12"/>
  <c r="G53" i="12"/>
  <c r="G51" i="12"/>
  <c r="G50" i="12"/>
  <c r="K12" i="38"/>
  <c r="F59" i="24"/>
  <c r="G59" i="24"/>
  <c r="K19" i="12" l="1"/>
  <c r="AI52" i="1"/>
  <c r="N62" i="35"/>
  <c r="N71" i="35" s="1"/>
  <c r="N10" i="35" s="1"/>
  <c r="K57" i="12"/>
  <c r="K84" i="12" s="1"/>
  <c r="M75" i="1"/>
  <c r="G137" i="12"/>
  <c r="G138" i="12" s="1"/>
  <c r="G163" i="12"/>
  <c r="H53" i="12"/>
  <c r="H107" i="12"/>
  <c r="H50" i="12"/>
  <c r="H49" i="12"/>
  <c r="H52" i="12"/>
  <c r="J59" i="12"/>
  <c r="J56" i="12" s="1"/>
  <c r="J80" i="12" s="1"/>
  <c r="H51" i="12"/>
  <c r="K74" i="35"/>
  <c r="K76" i="35" s="1"/>
  <c r="K9" i="35" s="1"/>
  <c r="J10" i="38" s="1"/>
  <c r="I24" i="12"/>
  <c r="I83" i="12" s="1"/>
  <c r="J24" i="12"/>
  <c r="G108" i="12"/>
  <c r="G142" i="12"/>
  <c r="AH53" i="1"/>
  <c r="K59" i="12"/>
  <c r="M46" i="1"/>
  <c r="L79" i="35"/>
  <c r="L81" i="35" s="1"/>
  <c r="L41" i="35" s="1"/>
  <c r="L43" i="35" s="1"/>
  <c r="M53" i="1"/>
  <c r="AI51" i="1"/>
  <c r="K27" i="12" s="1"/>
  <c r="AI45" i="1"/>
  <c r="E55" i="35"/>
  <c r="E57" i="35" s="1"/>
  <c r="E8" i="35" s="1"/>
  <c r="H59" i="24"/>
  <c r="BJ61" i="1"/>
  <c r="BK61" i="1"/>
  <c r="F58" i="24"/>
  <c r="E13" i="35" l="1"/>
  <c r="E37" i="35" s="1"/>
  <c r="E23" i="38"/>
  <c r="G171" i="12"/>
  <c r="G139" i="12"/>
  <c r="G192" i="12"/>
  <c r="G218" i="12" s="1"/>
  <c r="K56" i="12"/>
  <c r="K80" i="12" s="1"/>
  <c r="K86" i="12"/>
  <c r="F62" i="12"/>
  <c r="F80" i="12" s="1"/>
  <c r="F90" i="12"/>
  <c r="E62" i="12"/>
  <c r="E90" i="12"/>
  <c r="L5" i="48"/>
  <c r="L9" i="48" s="1"/>
  <c r="J83" i="12"/>
  <c r="J129" i="12" s="1"/>
  <c r="J86" i="12"/>
  <c r="K5" i="48"/>
  <c r="K9" i="48" s="1"/>
  <c r="I48" i="12"/>
  <c r="J48" i="12"/>
  <c r="H129" i="12"/>
  <c r="I129" i="12"/>
  <c r="K79" i="35"/>
  <c r="K81" i="35" s="1"/>
  <c r="K41" i="35" s="1"/>
  <c r="K43" i="35" s="1"/>
  <c r="J11" i="38" s="1"/>
  <c r="AI46" i="1"/>
  <c r="M79" i="35"/>
  <c r="M81" i="35" s="1"/>
  <c r="M41" i="35" s="1"/>
  <c r="M43" i="35" s="1"/>
  <c r="L11" i="38" s="1"/>
  <c r="I64" i="35"/>
  <c r="I66" i="35" s="1"/>
  <c r="I71" i="35" s="1"/>
  <c r="I10" i="35" s="1"/>
  <c r="H64" i="35"/>
  <c r="H66" i="35" s="1"/>
  <c r="H71" i="35" s="1"/>
  <c r="H10" i="35" s="1"/>
  <c r="K24" i="12"/>
  <c r="AI53" i="1"/>
  <c r="L12" i="38"/>
  <c r="M12" i="38"/>
  <c r="G58" i="24"/>
  <c r="H58" i="24" s="1"/>
  <c r="F30" i="12"/>
  <c r="E30" i="12"/>
  <c r="K83" i="12" l="1"/>
  <c r="F89" i="12"/>
  <c r="F130" i="12" s="1"/>
  <c r="I137" i="12"/>
  <c r="I138" i="12" s="1"/>
  <c r="I163" i="12"/>
  <c r="J137" i="12"/>
  <c r="J163" i="12"/>
  <c r="H137" i="12"/>
  <c r="H138" i="12" s="1"/>
  <c r="H163" i="12"/>
  <c r="H192" i="12" s="1"/>
  <c r="E89" i="12"/>
  <c r="E130" i="12" s="1"/>
  <c r="M74" i="35"/>
  <c r="M76" i="35" s="1"/>
  <c r="M9" i="35" s="1"/>
  <c r="J107" i="12"/>
  <c r="I50" i="12"/>
  <c r="I107" i="12"/>
  <c r="I108" i="12" s="1"/>
  <c r="J49" i="12"/>
  <c r="I49" i="12"/>
  <c r="L74" i="35"/>
  <c r="L76" i="35" s="1"/>
  <c r="L9" i="35" s="1"/>
  <c r="K10" i="38" s="1"/>
  <c r="I51" i="12"/>
  <c r="I52" i="12"/>
  <c r="I53" i="12"/>
  <c r="K48" i="12"/>
  <c r="K107" i="12" s="1"/>
  <c r="F48" i="12"/>
  <c r="F107" i="12" s="1"/>
  <c r="J52" i="12"/>
  <c r="J50" i="12"/>
  <c r="H108" i="12"/>
  <c r="J53" i="12"/>
  <c r="J51" i="12"/>
  <c r="J142" i="12"/>
  <c r="I142" i="12"/>
  <c r="H142" i="12"/>
  <c r="K11" i="38"/>
  <c r="N79" i="35"/>
  <c r="N81" i="35" s="1"/>
  <c r="N41" i="35" s="1"/>
  <c r="N43" i="35" s="1"/>
  <c r="M11" i="38" s="1"/>
  <c r="M5" i="48"/>
  <c r="M9" i="48" s="1"/>
  <c r="I12" i="38"/>
  <c r="G5" i="48"/>
  <c r="H5" i="48"/>
  <c r="H9" i="48" s="1"/>
  <c r="J139" i="12" l="1"/>
  <c r="J138" i="12"/>
  <c r="H171" i="12"/>
  <c r="H139" i="12"/>
  <c r="I171" i="12"/>
  <c r="I139" i="12"/>
  <c r="J192" i="12"/>
  <c r="J218" i="12" s="1"/>
  <c r="I192" i="12"/>
  <c r="I218" i="12" s="1"/>
  <c r="E164" i="12"/>
  <c r="E193" i="12" s="1"/>
  <c r="E143" i="12"/>
  <c r="F164" i="12"/>
  <c r="F193" i="12" s="1"/>
  <c r="F143" i="12"/>
  <c r="H218" i="12"/>
  <c r="L10" i="38"/>
  <c r="J108" i="12"/>
  <c r="I79" i="35"/>
  <c r="I81" i="35" s="1"/>
  <c r="I41" i="35" s="1"/>
  <c r="I43" i="35" s="1"/>
  <c r="I11" i="38" s="1"/>
  <c r="F52" i="12"/>
  <c r="K49" i="12"/>
  <c r="J171" i="12"/>
  <c r="K129" i="12" l="1"/>
  <c r="F49" i="12"/>
  <c r="I74" i="35"/>
  <c r="I76" i="35" s="1"/>
  <c r="I9" i="35" s="1"/>
  <c r="F51" i="12"/>
  <c r="N74" i="35"/>
  <c r="N76" i="35" s="1"/>
  <c r="N9" i="35" s="1"/>
  <c r="M10" i="38" s="1"/>
  <c r="K52" i="12"/>
  <c r="K50" i="12"/>
  <c r="K51" i="12"/>
  <c r="K53" i="12"/>
  <c r="E129" i="12"/>
  <c r="E163" i="12" s="1"/>
  <c r="E192" i="12" s="1"/>
  <c r="F129" i="12"/>
  <c r="F53" i="12"/>
  <c r="F50" i="12"/>
  <c r="F137" i="12" l="1"/>
  <c r="F163" i="12"/>
  <c r="K137" i="12"/>
  <c r="K138" i="12" s="1"/>
  <c r="K163" i="12"/>
  <c r="F108" i="12"/>
  <c r="K108" i="12"/>
  <c r="E142" i="12"/>
  <c r="F142" i="12"/>
  <c r="K142" i="12"/>
  <c r="I10" i="38"/>
  <c r="F139" i="12" l="1"/>
  <c r="F138" i="12"/>
  <c r="K171" i="12"/>
  <c r="K139" i="12"/>
  <c r="K192" i="12"/>
  <c r="K218" i="12" s="1"/>
  <c r="F218" i="12"/>
  <c r="F171" i="12"/>
  <c r="E48" i="12" l="1"/>
  <c r="G8" i="48"/>
  <c r="G9" i="48" s="1"/>
  <c r="E80" i="12"/>
  <c r="E52" i="12" l="1"/>
  <c r="E107" i="12"/>
  <c r="E51" i="12"/>
  <c r="H74" i="35"/>
  <c r="H76" i="35" s="1"/>
  <c r="H9" i="35" s="1"/>
  <c r="E53" i="12"/>
  <c r="E50" i="12"/>
  <c r="E49" i="12"/>
  <c r="E108" i="12" l="1"/>
  <c r="H79" i="35"/>
  <c r="H81" i="35" s="1"/>
  <c r="H41" i="35" s="1"/>
  <c r="H43" i="35" s="1"/>
  <c r="E135" i="12"/>
  <c r="G12" i="38"/>
  <c r="H12" i="38"/>
  <c r="G10" i="38"/>
  <c r="H10" i="38"/>
  <c r="E137" i="12" l="1"/>
  <c r="E138" i="12" s="1"/>
  <c r="E169" i="12"/>
  <c r="E198" i="12" s="1"/>
  <c r="E148" i="12"/>
  <c r="E218" i="12"/>
  <c r="E220" i="12" s="1"/>
  <c r="G11" i="38"/>
  <c r="H11" i="38"/>
  <c r="E171" i="12" l="1"/>
  <c r="E139" i="12"/>
  <c r="E221" i="12"/>
  <c r="F219" i="12"/>
  <c r="F220" i="12" s="1"/>
  <c r="E250" i="12"/>
  <c r="F249" i="12" s="1"/>
  <c r="F250" i="12" s="1"/>
  <c r="E254" i="12"/>
  <c r="E256" i="12" s="1"/>
  <c r="E205" i="12" l="1"/>
  <c r="E251" i="12"/>
  <c r="E257" i="12"/>
  <c r="F255" i="12"/>
  <c r="F256" i="12" s="1"/>
  <c r="F257" i="12" s="1"/>
  <c r="F221" i="12"/>
  <c r="G219" i="12"/>
  <c r="G220" i="12" s="1"/>
  <c r="G249" i="12"/>
  <c r="G250" i="12" s="1"/>
  <c r="F251" i="12"/>
  <c r="EB44" i="27"/>
  <c r="CJ50" i="27"/>
  <c r="F205" i="12" l="1"/>
  <c r="E210" i="12"/>
  <c r="F210" i="12"/>
  <c r="E211" i="12"/>
  <c r="F211" i="12"/>
  <c r="G255" i="12"/>
  <c r="G256" i="12" s="1"/>
  <c r="H255" i="12" s="1"/>
  <c r="H256" i="12" s="1"/>
  <c r="H219" i="12"/>
  <c r="H220" i="12" s="1"/>
  <c r="G221" i="12"/>
  <c r="G251" i="12"/>
  <c r="H249" i="12"/>
  <c r="H250" i="12" s="1"/>
  <c r="FT44" i="27"/>
  <c r="D38" i="7"/>
  <c r="G210" i="12" l="1"/>
  <c r="G205" i="12"/>
  <c r="EB46" i="27"/>
  <c r="C35" i="12"/>
  <c r="G257" i="12"/>
  <c r="H221" i="12"/>
  <c r="I219" i="12"/>
  <c r="I220" i="12" s="1"/>
  <c r="I249" i="12"/>
  <c r="I250" i="12" s="1"/>
  <c r="H251" i="12"/>
  <c r="H257" i="12"/>
  <c r="I255" i="12"/>
  <c r="I256" i="12" s="1"/>
  <c r="D41" i="7"/>
  <c r="FT46" i="27" s="1"/>
  <c r="EB50" i="27"/>
  <c r="CJ53" i="27" s="1"/>
  <c r="CJ52" i="27"/>
  <c r="CK55" i="27" s="1"/>
  <c r="CK56" i="27" s="1"/>
  <c r="H205" i="12" l="1"/>
  <c r="H211" i="12"/>
  <c r="G211" i="12"/>
  <c r="H210" i="12"/>
  <c r="E6" i="48"/>
  <c r="E9" i="48" s="1"/>
  <c r="C48" i="12"/>
  <c r="C52" i="12" s="1"/>
  <c r="C34" i="12"/>
  <c r="D44" i="7"/>
  <c r="C67" i="12"/>
  <c r="C94" i="12" s="1"/>
  <c r="J219" i="12"/>
  <c r="J220" i="12" s="1"/>
  <c r="I221" i="12"/>
  <c r="I251" i="12"/>
  <c r="J249" i="12"/>
  <c r="J250" i="12" s="1"/>
  <c r="J251" i="12" s="1"/>
  <c r="D227" i="28"/>
  <c r="I257" i="12"/>
  <c r="J255" i="12"/>
  <c r="J256" i="12" s="1"/>
  <c r="J210" i="12" l="1"/>
  <c r="I210" i="12"/>
  <c r="I211" i="12"/>
  <c r="I205" i="12"/>
  <c r="C50" i="12"/>
  <c r="F68" i="35"/>
  <c r="F70" i="35" s="1"/>
  <c r="F71" i="35" s="1"/>
  <c r="F10" i="35" s="1"/>
  <c r="C66" i="12"/>
  <c r="C80" i="12" s="1"/>
  <c r="C107" i="12" s="1"/>
  <c r="C108" i="12" s="1"/>
  <c r="K219" i="12"/>
  <c r="K220" i="12" s="1"/>
  <c r="K221" i="12" s="1"/>
  <c r="J221" i="12"/>
  <c r="C113" i="12"/>
  <c r="D47" i="7"/>
  <c r="D50" i="7" s="1"/>
  <c r="J257" i="12"/>
  <c r="K255" i="12"/>
  <c r="K256" i="12" s="1"/>
  <c r="K257" i="12" s="1"/>
  <c r="F74" i="35"/>
  <c r="F76" i="35" s="1"/>
  <c r="C49" i="12"/>
  <c r="C53" i="12"/>
  <c r="C51" i="12"/>
  <c r="K205" i="12" l="1"/>
  <c r="K211" i="12"/>
  <c r="J211" i="12"/>
  <c r="J205" i="12"/>
  <c r="C93" i="12"/>
  <c r="C125" i="12"/>
  <c r="F79" i="35" s="1"/>
  <c r="F81" i="35" s="1"/>
  <c r="F41" i="35" s="1"/>
  <c r="F43" i="35" s="1"/>
  <c r="C126" i="12"/>
  <c r="E12" i="38"/>
  <c r="F12" i="38"/>
  <c r="F9" i="35"/>
  <c r="C132" i="12"/>
  <c r="C166" i="12" l="1"/>
  <c r="C195" i="12" s="1"/>
  <c r="C236" i="12" s="1"/>
  <c r="C145" i="12"/>
  <c r="E11" i="38"/>
  <c r="F11" i="38"/>
  <c r="C131" i="12"/>
  <c r="C144" i="12" s="1"/>
  <c r="E10" i="38"/>
  <c r="F10" i="38"/>
  <c r="C137" i="12" l="1"/>
  <c r="C138" i="12" s="1"/>
  <c r="C165" i="12"/>
  <c r="C194" i="12" s="1"/>
  <c r="C238" i="12"/>
  <c r="C171" i="12" l="1"/>
  <c r="C139" i="12"/>
  <c r="C239" i="12"/>
  <c r="D237" i="12"/>
  <c r="D238" i="12" s="1"/>
  <c r="D239" i="12" s="1"/>
  <c r="C208" i="12" l="1"/>
  <c r="C207" i="12" s="1"/>
  <c r="D208" i="12"/>
  <c r="D207" i="12" s="1"/>
  <c r="E237" i="12"/>
  <c r="E238" i="12" s="1"/>
  <c r="F237" i="12" s="1"/>
  <c r="F238" i="12" s="1"/>
  <c r="C213" i="12"/>
  <c r="D213" i="12"/>
  <c r="F54" i="35" l="1"/>
  <c r="E239" i="12"/>
  <c r="E208" i="12" s="1"/>
  <c r="E207" i="12" s="1"/>
  <c r="F239" i="12"/>
  <c r="G237" i="12"/>
  <c r="G238" i="12" s="1"/>
  <c r="F208" i="12" l="1"/>
  <c r="F207" i="12" s="1"/>
  <c r="G54" i="35"/>
  <c r="E8" i="38"/>
  <c r="E13" i="38" s="1"/>
  <c r="E34" i="38" s="1"/>
  <c r="E36" i="38" s="1"/>
  <c r="F55" i="35"/>
  <c r="E213" i="12"/>
  <c r="G239" i="12"/>
  <c r="H237" i="12"/>
  <c r="H238" i="12" s="1"/>
  <c r="F213" i="12"/>
  <c r="G208" i="12" l="1"/>
  <c r="G207" i="12" s="1"/>
  <c r="H54" i="35"/>
  <c r="H55" i="35" s="1"/>
  <c r="F8" i="38"/>
  <c r="F13" i="38" s="1"/>
  <c r="F34" i="38" s="1"/>
  <c r="F36" i="38" s="1"/>
  <c r="G55" i="35"/>
  <c r="H239" i="12"/>
  <c r="I237" i="12"/>
  <c r="I238" i="12" s="1"/>
  <c r="G213" i="12"/>
  <c r="H208" i="12" l="1"/>
  <c r="H207" i="12" s="1"/>
  <c r="I54" i="35"/>
  <c r="I55" i="35" s="1"/>
  <c r="G8" i="38"/>
  <c r="G13" i="38" s="1"/>
  <c r="G34" i="38" s="1"/>
  <c r="G36" i="38" s="1"/>
  <c r="I239" i="12"/>
  <c r="J237" i="12"/>
  <c r="J238" i="12" s="1"/>
  <c r="H213" i="12"/>
  <c r="I208" i="12" l="1"/>
  <c r="I207" i="12" s="1"/>
  <c r="J54" i="35"/>
  <c r="K54" i="35" s="1"/>
  <c r="H8" i="38"/>
  <c r="H13" i="38" s="1"/>
  <c r="H34" i="38" s="1"/>
  <c r="H36" i="38" s="1"/>
  <c r="J239" i="12"/>
  <c r="K237" i="12"/>
  <c r="K238" i="12" s="1"/>
  <c r="K239" i="12" s="1"/>
  <c r="I213" i="12"/>
  <c r="K208" i="12" l="1"/>
  <c r="K207" i="12" s="1"/>
  <c r="J208" i="12"/>
  <c r="J207" i="12" s="1"/>
  <c r="J213" i="12" s="1"/>
  <c r="J55" i="35"/>
  <c r="I8" i="38"/>
  <c r="I13" i="38" s="1"/>
  <c r="I34" i="38" s="1"/>
  <c r="I36" i="38" s="1"/>
  <c r="L54" i="35"/>
  <c r="J8" i="38"/>
  <c r="J13" i="38" s="1"/>
  <c r="J34" i="38" s="1"/>
  <c r="J36" i="38" s="1"/>
  <c r="K55" i="35"/>
  <c r="K213" i="12"/>
  <c r="M54" i="35" l="1"/>
  <c r="K8" i="38"/>
  <c r="K13" i="38" s="1"/>
  <c r="K34" i="38" s="1"/>
  <c r="K36" i="38" s="1"/>
  <c r="L55" i="35"/>
  <c r="N54" i="35" l="1"/>
  <c r="L8" i="38"/>
  <c r="L13" i="38" s="1"/>
  <c r="L34" i="38" s="1"/>
  <c r="L36" i="38" s="1"/>
  <c r="M55" i="35"/>
  <c r="M8" i="38" l="1"/>
  <c r="M13" i="38" s="1"/>
  <c r="M34" i="38" s="1"/>
  <c r="M36" i="38" s="1"/>
  <c r="N36" i="38" s="1"/>
  <c r="E37" i="38" s="1"/>
  <c r="N55" i="35"/>
  <c r="F215" i="36" l="1"/>
  <c r="F218" i="36" s="1"/>
  <c r="G218" i="36" l="1"/>
  <c r="H218" i="36" s="1"/>
  <c r="F220" i="36"/>
  <c r="F48" i="35" l="1"/>
  <c r="F51" i="35" s="1"/>
  <c r="G220" i="36"/>
  <c r="G221" i="36" s="1"/>
  <c r="G48" i="35"/>
  <c r="I218" i="36"/>
  <c r="H220" i="36"/>
  <c r="G51" i="35" l="1"/>
  <c r="G49" i="35"/>
  <c r="G57" i="35" s="1"/>
  <c r="G8" i="35" s="1"/>
  <c r="G13" i="35" s="1"/>
  <c r="G37" i="35" s="1"/>
  <c r="F49" i="35"/>
  <c r="F57" i="35" s="1"/>
  <c r="F8" i="35" s="1"/>
  <c r="F13" i="35" s="1"/>
  <c r="F37" i="35" s="1"/>
  <c r="H221" i="36"/>
  <c r="J218" i="36"/>
  <c r="I220" i="36"/>
  <c r="I221" i="36" s="1"/>
  <c r="H48" i="35"/>
  <c r="H51" i="35" s="1"/>
  <c r="F18" i="38" l="1"/>
  <c r="F20" i="38" s="1"/>
  <c r="F22" i="38" s="1"/>
  <c r="H49" i="35"/>
  <c r="H57" i="35" s="1"/>
  <c r="H8" i="35" s="1"/>
  <c r="H13" i="35" s="1"/>
  <c r="H37" i="35" s="1"/>
  <c r="E18" i="38"/>
  <c r="E20" i="38" s="1"/>
  <c r="E22" i="38" s="1"/>
  <c r="E24" i="38" s="1"/>
  <c r="E26" i="38" s="1"/>
  <c r="K218" i="36"/>
  <c r="J220" i="36"/>
  <c r="J221" i="36" s="1"/>
  <c r="I48" i="35"/>
  <c r="I51" i="35" s="1"/>
  <c r="I49" i="35" l="1"/>
  <c r="I57" i="35" s="1"/>
  <c r="I8" i="35" s="1"/>
  <c r="I13" i="35" s="1"/>
  <c r="I37" i="35" s="1"/>
  <c r="G18" i="38"/>
  <c r="G20" i="38" s="1"/>
  <c r="G22" i="38" s="1"/>
  <c r="F23" i="38"/>
  <c r="F24" i="38" s="1"/>
  <c r="J48" i="35"/>
  <c r="J51" i="35" s="1"/>
  <c r="K220" i="36"/>
  <c r="K221" i="36" s="1"/>
  <c r="L218" i="36"/>
  <c r="F26" i="38" l="1"/>
  <c r="G23" i="38"/>
  <c r="G24" i="38" s="1"/>
  <c r="J49" i="35"/>
  <c r="I18" i="38" s="1"/>
  <c r="I20" i="38" s="1"/>
  <c r="I22" i="38" s="1"/>
  <c r="H18" i="38"/>
  <c r="H20" i="38" s="1"/>
  <c r="H22" i="38" s="1"/>
  <c r="K48" i="35"/>
  <c r="K51" i="35" s="1"/>
  <c r="M218" i="36"/>
  <c r="L220" i="36"/>
  <c r="L221" i="36" s="1"/>
  <c r="J57" i="35"/>
  <c r="J8" i="35" s="1"/>
  <c r="J13" i="35" s="1"/>
  <c r="J37" i="35" s="1"/>
  <c r="G26" i="38"/>
  <c r="H23" i="38" l="1"/>
  <c r="H24" i="38" s="1"/>
  <c r="K49" i="35"/>
  <c r="K57" i="35" s="1"/>
  <c r="K8" i="35" s="1"/>
  <c r="K13" i="35" s="1"/>
  <c r="K37" i="35" s="1"/>
  <c r="N218" i="36"/>
  <c r="M220" i="36"/>
  <c r="M221" i="36" s="1"/>
  <c r="L48" i="35"/>
  <c r="L51" i="35" s="1"/>
  <c r="H26" i="38" l="1"/>
  <c r="I23" i="38"/>
  <c r="I24" i="38" s="1"/>
  <c r="I26" i="38" s="1"/>
  <c r="J18" i="38"/>
  <c r="J20" i="38" s="1"/>
  <c r="J22" i="38" s="1"/>
  <c r="L49" i="35"/>
  <c r="L57" i="35" s="1"/>
  <c r="L8" i="35" s="1"/>
  <c r="L13" i="35" s="1"/>
  <c r="L37" i="35" s="1"/>
  <c r="N220" i="36"/>
  <c r="N221" i="36" s="1"/>
  <c r="O218" i="36"/>
  <c r="M48" i="35"/>
  <c r="M51" i="35" s="1"/>
  <c r="J23" i="38" l="1"/>
  <c r="J24" i="38" s="1"/>
  <c r="M49" i="35"/>
  <c r="M57" i="35" s="1"/>
  <c r="M8" i="35" s="1"/>
  <c r="M13" i="35" s="1"/>
  <c r="M37" i="35" s="1"/>
  <c r="K18" i="38"/>
  <c r="K20" i="38" s="1"/>
  <c r="K22" i="38" s="1"/>
  <c r="N48" i="35"/>
  <c r="N51" i="35" s="1"/>
  <c r="O220" i="36"/>
  <c r="O221" i="36" s="1"/>
  <c r="L18" i="38" l="1"/>
  <c r="L20" i="38" s="1"/>
  <c r="L22" i="38" s="1"/>
  <c r="J26" i="38"/>
  <c r="K23" i="38"/>
  <c r="K24" i="38" s="1"/>
  <c r="N49" i="35"/>
  <c r="N57" i="35" s="1"/>
  <c r="N8" i="35" s="1"/>
  <c r="N13" i="35" s="1"/>
  <c r="N37" i="35" s="1"/>
  <c r="M18" i="38" l="1"/>
  <c r="M20" i="38" s="1"/>
  <c r="M22" i="38" s="1"/>
  <c r="K26" i="38"/>
  <c r="L23" i="38"/>
  <c r="L24" i="38" s="1"/>
  <c r="M23" i="38" l="1"/>
  <c r="M24" i="38" s="1"/>
  <c r="M26" i="38" s="1"/>
  <c r="L26" i="3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tc={50D5ADB5-2252-41AE-8348-E775B715F0C6}</author>
  </authors>
  <commentList>
    <comment ref="G53" authorId="0" shapeId="0" xr:uid="{50D5ADB5-2252-41AE-8348-E775B715F0C6}">
      <text>
        <t>[Threaded comment]
Your version of Excel allows you to read this threaded comment; however, any edits to it will get removed if the file is opened in a newer version of Excel. Learn more: https://go.microsoft.com/fwlink/?linkid=870924
Comment:
    Have added $8m/year for current running depreciation</t>
      </text>
    </comment>
  </commentList>
</comments>
</file>

<file path=xl/sharedStrings.xml><?xml version="1.0" encoding="utf-8"?>
<sst xmlns="http://schemas.openxmlformats.org/spreadsheetml/2006/main" count="1996" uniqueCount="726">
  <si>
    <t>Series E Assumptions</t>
  </si>
  <si>
    <t>Updated on 05/10/2022</t>
  </si>
  <si>
    <t>Production Assumptions - Refer to "Ingredients" Tab</t>
  </si>
  <si>
    <t>Production numbers based on a combination of CMOs, Project Pele, and Project Eureka</t>
  </si>
  <si>
    <t>Investments into production capacity through 2026 include $150m for CMOs, $175m ($75m for acquisition and $100m for capacity expansion) for Project Eureka, and $377m (initial $280m with a $97m expansion) for Project Pele</t>
  </si>
  <si>
    <t xml:space="preserve">Strain development continues to make strong strides. Currently at 50-55 g/l, expected to grow to 70g/l by 2026 </t>
  </si>
  <si>
    <t>Project Pele</t>
  </si>
  <si>
    <t>Own plant build expected to give us control on our own capacity in the US, expected to come online in 2nd half 2025</t>
  </si>
  <si>
    <t>Assumed LGB capacity for plant includes an initial 6k MT with an expansion to 9k MT in 2026</t>
  </si>
  <si>
    <t>Plan to have production from 8 fermentors by 2028 with a further $75m investment</t>
  </si>
  <si>
    <t>Fully loaded cost of goods anticipated to be $12/kg in 2025 and $9/kg in 2026 based on estimates developed by operations team</t>
  </si>
  <si>
    <t>In house project engineering team developing site selection, costing, headcount and FEED (front end engineering design)</t>
  </si>
  <si>
    <t>25% decrease in cost/kg expected to be driven by efficiencies in overheads plus increase in titer plus process optimization</t>
  </si>
  <si>
    <t>Potential commodity price fluctuations expected to be hedged to protect pricing of raw ingredients (Corn, Glucose etc.)</t>
  </si>
  <si>
    <t>Logistics costs will be minimal as sourcing locally. Estimated at 10-20c/kg and included in cost/kg calculation. Customer pick up anticipated with ex works inco terms with customers</t>
  </si>
  <si>
    <t>CMO Production</t>
  </si>
  <si>
    <t>CMO reliance on capacity through 2024 but onus on improved production quantities via investment and building internal know-how</t>
  </si>
  <si>
    <t xml:space="preserve"> 2022 capacity locked in with goals set at CMO to produce proteins.</t>
  </si>
  <si>
    <t>Evonik assumed to be increasing production capacity based on increasing in titer and process optimization</t>
  </si>
  <si>
    <t>Olon assumed to be increasing production capacity based on increased in fermentation and DSP capacity over 2022-2024 plus increase in titer and process optimization</t>
  </si>
  <si>
    <t>Investments totaling $150m (2022 and 2023) in Olon expected to drive Olon as strategic partner beyond 2025</t>
  </si>
  <si>
    <t>PD owned equipment exclusivity beyond 2025 signed up with Olon to protect investment</t>
  </si>
  <si>
    <t>Project Eureka</t>
  </si>
  <si>
    <t>Acquisition expected to be finalized by the end of 2022</t>
  </si>
  <si>
    <t>Assuming 2 year construction period for LGB capacity expansion for a total capacity of 6k MT by 2026</t>
  </si>
  <si>
    <t>Will continue to produce pharmaceutical-grade products at facilities</t>
  </si>
  <si>
    <t>Business P&amp;L's</t>
  </si>
  <si>
    <t>Brand Business (refer to tabs "Finance &amp; Exec Summary" &amp; "Key Input Drivers")</t>
  </si>
  <si>
    <t xml:space="preserve">Introduction of new brands is assumed to drive revenue growth of with introduction over multiple categories. </t>
  </si>
  <si>
    <t xml:space="preserve">Anticipated Brand growth driven by conservative assumptions of entry into stores, regions and velocities on skus.  </t>
  </si>
  <si>
    <t>Brand business expected to drive a weighted c.60% of total annual revenue from 2021 to 2025, with bandings ranging from 52% to 70%</t>
  </si>
  <si>
    <t>Anticipation to launch new brands national and international across multiple categories and sectors</t>
  </si>
  <si>
    <t>Milk, Creamer, Yogurt and Sports Nutrition expected to contribute c.60% of total brand revenue by 2025</t>
  </si>
  <si>
    <t>In house R&amp;D accelerated development in food platforms in 2021. Expected to continue to provide offerings to develop market.</t>
  </si>
  <si>
    <t>A combination of focused marketing and sampling for 2022 &amp; 2023 expected to drive increased consumer awareness in animal free dairy across all categories</t>
  </si>
  <si>
    <t>Other brand overheads to include new hires to support growth both national and international. 2021 accounts for 26 with potential increase to 164 in line growth projections and targets across all categories</t>
  </si>
  <si>
    <t>GM % growth from 2021 to 2025 driven by assumed reduction in production cost (see assumption #9) and overheads rather than price increase to consumer to ensure competiveness within the market across all categories</t>
  </si>
  <si>
    <t>Variance in EBITA in 21-23 primarly driven by marketing awareness expenditure with expectation return to normal levels from 2024 onwards</t>
  </si>
  <si>
    <t>Revenue growth and profitability assumed to be realized 2024 onwards due to expansion of product portfolio, channels and market penetration in key categories</t>
  </si>
  <si>
    <t>B2B ingredients (refer to tabs "Finance &amp; Exec Summary" &amp; "Key Input Drivers")</t>
  </si>
  <si>
    <t>B2B offerings driven by working with key significant players (ref #34) in the market GM % raising to 46% by 2025 as we gain efficiencies in production and increase offerings to the market</t>
  </si>
  <si>
    <t>Key player updates: Starbucks expected to launch in test market in 2021 while Kraft willing to back cream cheese market offering</t>
  </si>
  <si>
    <t>Fats, Protein Sweetners and LAA/Infant Proteins expected to come online in 2023 and 2024 as R&amp;D develop proteins</t>
  </si>
  <si>
    <t>Nick's and Graeter's launched in 2021 and have been successful in market placements along with DTC sales'</t>
  </si>
  <si>
    <t>Overheads include significant spends in R&amp;D, manufacturing, admin and marketing ($400m across 2021 to 2025)</t>
  </si>
  <si>
    <t>From 2021- 2025 expansion of globalized resourcing network across in US, Europe and Asia in line with target expansion in associated markets</t>
  </si>
  <si>
    <t>B2B business assumptions based on ingredient sales to market players and average prices to be premium plus vs. dairy market. Expected to be slight premium to dairy market by 2025</t>
  </si>
  <si>
    <t>For B2B portfolio vs brand in order to increase sales and cost competiveness an assumed target price of $10/kg is required to drive volume to the market</t>
  </si>
  <si>
    <t>Milk Proteins means all commodity protein (LGB, Casein)</t>
  </si>
  <si>
    <t>Scaleable Bio-Foundry (refer to tabs "Finance &amp; Exec Summary" &amp; "Key Input Drivers")</t>
  </si>
  <si>
    <t>For SBF P&amp;L, revenue growth based on expansion of operations into pharma and biotech sectors based attractiveness of technologies used and expansion of production capacity</t>
  </si>
  <si>
    <t>In comparsion to other P&amp;L's, SBF expected to maintain 20% EBITA margins as we pass on all costs of production to customer base w/margin. Based on insight, limited risk with this strategy</t>
  </si>
  <si>
    <t>Customers expected to include pharmaceutical companies such as BMS. Biotech companies include Clara Foods, Solugen, ADM and Geltor who are existing customers than can be further developed</t>
  </si>
  <si>
    <t>Currently SBF are working with all of these customers and they have expressed desire to grow with us as we look for expansion</t>
  </si>
  <si>
    <t>Potential to licence our IP on animal free milk protein to new companies who are developing in this area. No specific revenue projections included in this analysis.</t>
  </si>
  <si>
    <t>Working Capital Assumptions (refer to tab "Detailed BS &amp; CF")</t>
  </si>
  <si>
    <t>Stock at 45 days holding</t>
  </si>
  <si>
    <t>Debtors at 22 days holding</t>
  </si>
  <si>
    <t>Creditors at 40 days holding</t>
  </si>
  <si>
    <t>Other Casflow assumptions (refer to tabs "Detailed BS &amp; CF", "Cash Projections" and "Debt capital projections")</t>
  </si>
  <si>
    <t>Debt financing to support production expansions at varing rates and durations as outlined on the "debt capital projections" tab</t>
  </si>
  <si>
    <t>Assumed total series D investment $300m for 2021</t>
  </si>
  <si>
    <t>Further raise in 2024 of $400m anticipated based on analysis completed and assumptions outlined above</t>
  </si>
  <si>
    <t>PD Global</t>
  </si>
  <si>
    <t>(in 000's)</t>
  </si>
  <si>
    <t>Comments</t>
  </si>
  <si>
    <t>Net Revenue</t>
  </si>
  <si>
    <t>Biomass</t>
  </si>
  <si>
    <t>Brazzein</t>
  </si>
  <si>
    <t>LAA</t>
  </si>
  <si>
    <t>Pharma (India)</t>
  </si>
  <si>
    <t>Gelatin</t>
  </si>
  <si>
    <t>DCP</t>
  </si>
  <si>
    <t>TUC</t>
  </si>
  <si>
    <t>TUC International</t>
  </si>
  <si>
    <t>SBF/BAAS</t>
  </si>
  <si>
    <t>Total</t>
  </si>
  <si>
    <t>COGS</t>
  </si>
  <si>
    <t>Margin</t>
  </si>
  <si>
    <t>Overheads</t>
  </si>
  <si>
    <t>R&amp;D</t>
  </si>
  <si>
    <t>EBITDA</t>
  </si>
  <si>
    <t>Depreciation</t>
  </si>
  <si>
    <t>EBIT</t>
  </si>
  <si>
    <t>Interest Expense</t>
  </si>
  <si>
    <t>EBT</t>
  </si>
  <si>
    <t>Perfect Day Group</t>
  </si>
  <si>
    <t>Unit Economics</t>
  </si>
  <si>
    <t>('$m)</t>
  </si>
  <si>
    <t>Rev per Kg</t>
  </si>
  <si>
    <t>Cost per Kg</t>
  </si>
  <si>
    <t>Cost per unit decreases as we build scale. Average cost per Kg in 2021 at $68 reducing to $7 in 2025 driven by oncoming capacity with key JV plant builds in Asia</t>
  </si>
  <si>
    <t>along with US capacity coming on in 2024 and 2025 with key partners</t>
  </si>
  <si>
    <t>Perfect Day Consolidated</t>
  </si>
  <si>
    <t>Revenue</t>
  </si>
  <si>
    <t>Working Capital</t>
  </si>
  <si>
    <t>Interest Rate</t>
  </si>
  <si>
    <t>Acquisitions</t>
  </si>
  <si>
    <t>Check</t>
  </si>
  <si>
    <t>Zebu 1500</t>
  </si>
  <si>
    <t>SBF</t>
  </si>
  <si>
    <t>Series E</t>
  </si>
  <si>
    <t>Days Holding</t>
  </si>
  <si>
    <t>Sales</t>
  </si>
  <si>
    <t>Ingredients Projections</t>
  </si>
  <si>
    <t>Gelatin (India)</t>
  </si>
  <si>
    <t>DCP (India)</t>
  </si>
  <si>
    <t>Avg. Cost</t>
  </si>
  <si>
    <t>Production Forecast</t>
  </si>
  <si>
    <t>Pele</t>
  </si>
  <si>
    <t>India</t>
  </si>
  <si>
    <t>Grand Total Production</t>
  </si>
  <si>
    <t>Demand Forecast</t>
  </si>
  <si>
    <t>Ingredients Demand</t>
  </si>
  <si>
    <t>Stock Carryover</t>
  </si>
  <si>
    <t>Total Volume</t>
  </si>
  <si>
    <t>Weighted Avg. Cost per Kg</t>
  </si>
  <si>
    <t>Total Revenue</t>
  </si>
  <si>
    <t>Total COGS</t>
  </si>
  <si>
    <t>FG Inventory Balance</t>
  </si>
  <si>
    <t>Volume</t>
  </si>
  <si>
    <t>Ice Cream</t>
  </si>
  <si>
    <t>Cake Mix</t>
  </si>
  <si>
    <t>Ice Cream Bars</t>
  </si>
  <si>
    <t>RTM - Club</t>
  </si>
  <si>
    <t>RTM - Online</t>
  </si>
  <si>
    <t>RTD - Club</t>
  </si>
  <si>
    <t>RTD - Online</t>
  </si>
  <si>
    <t>Cream Cheese</t>
  </si>
  <si>
    <t>Milk</t>
  </si>
  <si>
    <t>Coffee Creamer</t>
  </si>
  <si>
    <t>New Market</t>
  </si>
  <si>
    <t>TUC Sales Plan</t>
  </si>
  <si>
    <t>Input</t>
  </si>
  <si>
    <t>Calculation</t>
  </si>
  <si>
    <t>Brand</t>
  </si>
  <si>
    <t>Category</t>
  </si>
  <si>
    <t>Protein Usage Per Unit</t>
  </si>
  <si>
    <t>KG Conversion</t>
  </si>
  <si>
    <t>%Brand Using AF Dairy</t>
  </si>
  <si>
    <t>UOM</t>
  </si>
  <si>
    <t>Units per Week</t>
  </si>
  <si>
    <t>Weeks on Shelf</t>
  </si>
  <si>
    <t>Stores Scanning</t>
  </si>
  <si>
    <t>Stores</t>
  </si>
  <si>
    <t>Average Skus across Stores</t>
  </si>
  <si>
    <t>Gross Rev/Unit</t>
  </si>
  <si>
    <t>Gross Revenue</t>
  </si>
  <si>
    <t>DD&amp;A (Trade) Support</t>
  </si>
  <si>
    <t>DD&amp;A Expense</t>
  </si>
  <si>
    <t>Slotting</t>
  </si>
  <si>
    <t>Protein Demand</t>
  </si>
  <si>
    <t>% of Total Protein Demand</t>
  </si>
  <si>
    <t>Margin % Per Unit</t>
  </si>
  <si>
    <t>Brave Robot</t>
  </si>
  <si>
    <t>North America</t>
  </si>
  <si>
    <t>16oz</t>
  </si>
  <si>
    <t>500g</t>
  </si>
  <si>
    <t>8oz</t>
  </si>
  <si>
    <t>California Performance</t>
  </si>
  <si>
    <t>1500g</t>
  </si>
  <si>
    <t>Modern Kitchen</t>
  </si>
  <si>
    <t>128oz</t>
  </si>
  <si>
    <t>32oz</t>
  </si>
  <si>
    <t>Canada</t>
  </si>
  <si>
    <t>CoolHaus Wholesale</t>
  </si>
  <si>
    <t>CoolHaus Catering</t>
  </si>
  <si>
    <t>Yogurt</t>
  </si>
  <si>
    <t>Region</t>
  </si>
  <si>
    <t>United Kingdom</t>
  </si>
  <si>
    <t>Sports Nutrition</t>
  </si>
  <si>
    <t>Germany</t>
  </si>
  <si>
    <t>Australia</t>
  </si>
  <si>
    <t>New Zealand</t>
  </si>
  <si>
    <t>TUC International Sales Plan</t>
  </si>
  <si>
    <t>TBC</t>
  </si>
  <si>
    <t>465ml</t>
  </si>
  <si>
    <t>1L</t>
  </si>
  <si>
    <t>Growth Factor</t>
  </si>
  <si>
    <t>Salary &amp; Benefits</t>
  </si>
  <si>
    <t>Bonus</t>
  </si>
  <si>
    <t>T&amp;E</t>
  </si>
  <si>
    <t>Outside Services</t>
  </si>
  <si>
    <t>IT</t>
  </si>
  <si>
    <t>Other</t>
  </si>
  <si>
    <t>Sales &amp; Marketing</t>
  </si>
  <si>
    <t>Licenses, Fees, and Insurance</t>
  </si>
  <si>
    <t>Shipping &amp; Storage</t>
  </si>
  <si>
    <t>Office Rent, Utilities, &amp; Equipment</t>
  </si>
  <si>
    <t>Lab Supplies</t>
  </si>
  <si>
    <t>Other Expenses</t>
  </si>
  <si>
    <t>Total SGA</t>
  </si>
  <si>
    <t>PD India</t>
  </si>
  <si>
    <t>Total Overheads</t>
  </si>
  <si>
    <t>Zebu 400</t>
  </si>
  <si>
    <t>Zebu 1000</t>
  </si>
  <si>
    <t>Total Depreciation</t>
  </si>
  <si>
    <t>Headcount Plan</t>
  </si>
  <si>
    <t>PD Inc</t>
  </si>
  <si>
    <t>Salt Lake City</t>
  </si>
  <si>
    <t>Project Pele ROI</t>
  </si>
  <si>
    <t>Selected Option:</t>
  </si>
  <si>
    <t>Year</t>
  </si>
  <si>
    <t>('000s)</t>
  </si>
  <si>
    <t>Beg. Bal</t>
  </si>
  <si>
    <t>Add</t>
  </si>
  <si>
    <t>Ret</t>
  </si>
  <si>
    <t>End. Bal.</t>
  </si>
  <si>
    <t>Maintenance Capex</t>
  </si>
  <si>
    <t>Depreciation Expense</t>
  </si>
  <si>
    <t>Accumulated Depreciation</t>
  </si>
  <si>
    <t>Net Plant in Service</t>
  </si>
  <si>
    <t>Biomass Vol</t>
  </si>
  <si>
    <t>LAA Vol</t>
  </si>
  <si>
    <t>Total Vol</t>
  </si>
  <si>
    <t>Rev / kg</t>
  </si>
  <si>
    <t>Avg Rev / kg</t>
  </si>
  <si>
    <t>Cost/Kg</t>
  </si>
  <si>
    <t>Material Cost / kg</t>
  </si>
  <si>
    <t>Total Material Cost</t>
  </si>
  <si>
    <t>Material Margin / kg</t>
  </si>
  <si>
    <t>Total Material Margin</t>
  </si>
  <si>
    <t>Production People Costs</t>
  </si>
  <si>
    <t>Production Overheads</t>
  </si>
  <si>
    <t>Total Production Overhead</t>
  </si>
  <si>
    <t>Gross Profit</t>
  </si>
  <si>
    <t>Gross Profit %</t>
  </si>
  <si>
    <t>SG&amp;A People</t>
  </si>
  <si>
    <t>SG&amp;A Overheads</t>
  </si>
  <si>
    <t>Incentive Credits (Business Attraction &amp; Job Training)</t>
  </si>
  <si>
    <t>Property Tax</t>
  </si>
  <si>
    <t>Principal Payment</t>
  </si>
  <si>
    <t>Tax</t>
  </si>
  <si>
    <t>Credit Carryforward</t>
  </si>
  <si>
    <t>State Tax Credit</t>
  </si>
  <si>
    <t>End. Balance</t>
  </si>
  <si>
    <t>Tax Expense</t>
  </si>
  <si>
    <t>Net Income</t>
  </si>
  <si>
    <t>Debt Repayments</t>
  </si>
  <si>
    <t>Cashflow for Payback</t>
  </si>
  <si>
    <t xml:space="preserve">ROI </t>
  </si>
  <si>
    <t>Starting Book Value</t>
  </si>
  <si>
    <t>Plus: Capex</t>
  </si>
  <si>
    <t>Plus: Change in NWC</t>
  </si>
  <si>
    <t>Less: Depreciation</t>
  </si>
  <si>
    <t>Est Tangible Book Value</t>
  </si>
  <si>
    <t>Average book value</t>
  </si>
  <si>
    <t>Calculations for Charts</t>
  </si>
  <si>
    <t>LGB Revenue</t>
  </si>
  <si>
    <t>Brazzein Revenue</t>
  </si>
  <si>
    <t>LAA Revenue</t>
  </si>
  <si>
    <t>Biomass Revenue</t>
  </si>
  <si>
    <t>EBITDA Ratio</t>
  </si>
  <si>
    <t>Property Tax W/O Incentive</t>
  </si>
  <si>
    <t>Equity Financed</t>
  </si>
  <si>
    <t>Debt Financed</t>
  </si>
  <si>
    <t>Masar Lovo Vol</t>
  </si>
  <si>
    <t>Masar Other Vol</t>
  </si>
  <si>
    <t>Kara Gelatine Vol</t>
  </si>
  <si>
    <t>Kara DCP Vol</t>
  </si>
  <si>
    <t>EBITDA %</t>
  </si>
  <si>
    <t>Cashflow</t>
  </si>
  <si>
    <t>FY22</t>
  </si>
  <si>
    <t xml:space="preserve">
Revised 2022 Budget</t>
  </si>
  <si>
    <t>Revised 2022 Budget</t>
  </si>
  <si>
    <t>Actual</t>
  </si>
  <si>
    <t xml:space="preserve">
Discovery_FPA</t>
  </si>
  <si>
    <t xml:space="preserve">
R&amp;D_FPA</t>
  </si>
  <si>
    <t xml:space="preserve">
R&amp;D Foods_FPA</t>
  </si>
  <si>
    <t xml:space="preserve">
9010   Executive 24</t>
  </si>
  <si>
    <t>Total Department</t>
  </si>
  <si>
    <t>SGA_FPA</t>
  </si>
  <si>
    <t>Perfect Day  Inc  2</t>
  </si>
  <si>
    <t>Compensation_FPA</t>
  </si>
  <si>
    <t>Incentive Compensation_FPA</t>
  </si>
  <si>
    <t>Benefits_FPA</t>
  </si>
  <si>
    <t>Outside Services_FPA</t>
  </si>
  <si>
    <t>Travel &amp; Entertainment_FPA</t>
  </si>
  <si>
    <t>Marketing_FPA</t>
  </si>
  <si>
    <t>Licenses / Fees / insurance_FPA</t>
  </si>
  <si>
    <t>Software &amp; Equipment_FPA</t>
  </si>
  <si>
    <t>Shipping &amp; Freight_FPA</t>
  </si>
  <si>
    <t>Facilities_FPA</t>
  </si>
  <si>
    <t>Lab Equipment_FPA</t>
  </si>
  <si>
    <t>Other SGA_FPA</t>
  </si>
  <si>
    <t>Intercompany Expense_FPA</t>
  </si>
  <si>
    <t>Depreciation_FPA</t>
  </si>
  <si>
    <t>Total Perfect Day Consolidated 1</t>
  </si>
  <si>
    <t>Interest Income / Expense_FPA</t>
  </si>
  <si>
    <t>YearTotal</t>
  </si>
  <si>
    <t>Budget_Revised</t>
  </si>
  <si>
    <t>Forecast_Initial</t>
  </si>
  <si>
    <t>SUB_2</t>
  </si>
  <si>
    <t>TD_FPA</t>
  </si>
  <si>
    <t>Commercial_FPA</t>
  </si>
  <si>
    <t>Manufacturing Operations_FPA</t>
  </si>
  <si>
    <t>New Ventures_FPA</t>
  </si>
  <si>
    <t>Finance_FPA</t>
  </si>
  <si>
    <t>Sales &amp; Marketing_FPA</t>
  </si>
  <si>
    <t>Communications_FPA</t>
  </si>
  <si>
    <t>DEPT_8</t>
  </si>
  <si>
    <t>DEPT_7</t>
  </si>
  <si>
    <t>DEPT_23</t>
  </si>
  <si>
    <t>DEPT_27</t>
  </si>
  <si>
    <t>DEPT_26</t>
  </si>
  <si>
    <t>DEPT_28</t>
  </si>
  <si>
    <t>SUB_4</t>
  </si>
  <si>
    <t>Perfect Day Consolidated 1</t>
  </si>
  <si>
    <t>Perfect Day India Private Limited 3</t>
  </si>
  <si>
    <t>TheUrgentCompany  Inc 4</t>
  </si>
  <si>
    <t>Perfect Day Fats  LLC 5</t>
  </si>
  <si>
    <t>Perfect Day Elimination 6</t>
  </si>
  <si>
    <t>Scalable Bio Facility  Inc  SBF  7</t>
  </si>
  <si>
    <t>Perfect Day Foods UK Ltd 9</t>
  </si>
  <si>
    <t>Perfect Day Singapore Private Ltd 10</t>
  </si>
  <si>
    <t>The Urgent Company Southeast Asia  Pte  Ltd  11</t>
  </si>
  <si>
    <t>Balance Sheet</t>
  </si>
  <si>
    <t>Assets</t>
  </si>
  <si>
    <t>Current Assets</t>
  </si>
  <si>
    <t>Cash &amp; Equivalents</t>
  </si>
  <si>
    <t>A/R</t>
  </si>
  <si>
    <t>Inventory</t>
  </si>
  <si>
    <t>Prepaid Expenses</t>
  </si>
  <si>
    <t>Other CA</t>
  </si>
  <si>
    <t>Total Current Assets</t>
  </si>
  <si>
    <t>Fixed Assets</t>
  </si>
  <si>
    <t>Total Fixed Assets</t>
  </si>
  <si>
    <t>Other Assets</t>
  </si>
  <si>
    <t>Total Assets</t>
  </si>
  <si>
    <t>Liabilities &amp; Equity</t>
  </si>
  <si>
    <t>Current Liabilities</t>
  </si>
  <si>
    <t>Long Term Liabilities</t>
  </si>
  <si>
    <t>Equity</t>
  </si>
  <si>
    <t>Total Liabilities &amp; Equity</t>
  </si>
  <si>
    <t>Total Long Term Liabilities</t>
  </si>
  <si>
    <t>Total Equity</t>
  </si>
  <si>
    <t>Existing Fixed Assets</t>
  </si>
  <si>
    <t>Acum. Depr.</t>
  </si>
  <si>
    <t>Investments</t>
  </si>
  <si>
    <t>Total Investments</t>
  </si>
  <si>
    <t>SBL</t>
  </si>
  <si>
    <t>Other Investments</t>
  </si>
  <si>
    <t>Operating Lease</t>
  </si>
  <si>
    <t>Other Long Term Liabilities</t>
  </si>
  <si>
    <t>Current Equity</t>
  </si>
  <si>
    <t>Stock Cost</t>
  </si>
  <si>
    <t>Ending Inventory</t>
  </si>
  <si>
    <t>Receivables</t>
  </si>
  <si>
    <t>Ending Payables</t>
  </si>
  <si>
    <t>Ending Receivables</t>
  </si>
  <si>
    <t>Payables</t>
  </si>
  <si>
    <t>CAPEX &amp; Depreciation</t>
  </si>
  <si>
    <t>Total CAPEX</t>
  </si>
  <si>
    <t>Financing</t>
  </si>
  <si>
    <t>Payment Period</t>
  </si>
  <si>
    <t>Total Principal Payment</t>
  </si>
  <si>
    <t>Interest Payment</t>
  </si>
  <si>
    <t>Total Interest Payment</t>
  </si>
  <si>
    <t>LTD Balance</t>
  </si>
  <si>
    <t>Total LTD Balance</t>
  </si>
  <si>
    <t>Loan Term</t>
  </si>
  <si>
    <t>Sources of Cash (Debt)</t>
  </si>
  <si>
    <t>Sources of Cash (Equity)</t>
  </si>
  <si>
    <t>Total Cash In (Debt)</t>
  </si>
  <si>
    <t>Total Cash In (Equity)</t>
  </si>
  <si>
    <t>Equity (New Financing)</t>
  </si>
  <si>
    <t>LTD (New Financing)</t>
  </si>
  <si>
    <t>CAPEX &amp; Financing Plan</t>
  </si>
  <si>
    <t>(in Millions)</t>
  </si>
  <si>
    <t>A/P</t>
  </si>
  <si>
    <t>Other CL</t>
  </si>
  <si>
    <t>Total Current Liabilities</t>
  </si>
  <si>
    <t>CAPEX</t>
  </si>
  <si>
    <t>Total Acquisitions</t>
  </si>
  <si>
    <t>SLC</t>
  </si>
  <si>
    <t>Variable Costs/Kg Brazzein</t>
  </si>
  <si>
    <t>Fixed Costs/Kg Brazzein</t>
  </si>
  <si>
    <t>Total Costs/Kg Brazzein</t>
  </si>
  <si>
    <t>Variable Costs/Kg LAA</t>
  </si>
  <si>
    <t>Fixed Costs/Kg LAA</t>
  </si>
  <si>
    <t>Total Costs/Kg LAA</t>
  </si>
  <si>
    <t>Production Consumables LAA</t>
  </si>
  <si>
    <t>Production Utility Costs Brazzein</t>
  </si>
  <si>
    <t>Production Utility Costs LAA</t>
  </si>
  <si>
    <t>Cash flow from Operating Activities</t>
  </si>
  <si>
    <t>Change in A/R</t>
  </si>
  <si>
    <t>Change in A/P</t>
  </si>
  <si>
    <t>Change in Inventory</t>
  </si>
  <si>
    <t>Cash Generated from Operations</t>
  </si>
  <si>
    <t>Cash flow from Investing Activities</t>
  </si>
  <si>
    <t>Cashlow from Financing Activities</t>
  </si>
  <si>
    <t>Debt</t>
  </si>
  <si>
    <t>Net Cash Used in Financing Activities</t>
  </si>
  <si>
    <t>Net Increase in Cash</t>
  </si>
  <si>
    <t>Beginning Cash</t>
  </si>
  <si>
    <t>Ending Cash</t>
  </si>
  <si>
    <t>LGB Grade B</t>
  </si>
  <si>
    <t>LGB Grade A</t>
  </si>
  <si>
    <t>No</t>
  </si>
  <si>
    <t>Variable Costs/Kg LGB Grade A</t>
  </si>
  <si>
    <t>Fixed Costs/Kg LGB Grade A</t>
  </si>
  <si>
    <t>Total Costs/Kg LGB Grade A</t>
  </si>
  <si>
    <t>Variable Costs/Kg LGB Grade B</t>
  </si>
  <si>
    <t>Fixed Costs/Kg LGB Grade B</t>
  </si>
  <si>
    <t>Total Costs/Kg LGB Grade B</t>
  </si>
  <si>
    <t>LGB  Vol</t>
  </si>
  <si>
    <t>LGB Grade A Vol</t>
  </si>
  <si>
    <t>LGB Grade B Vol</t>
  </si>
  <si>
    <t>Production Consumables LGB Grade A</t>
  </si>
  <si>
    <t>Production Consumables LGB Grade B</t>
  </si>
  <si>
    <t>Production Utility Costs LGB Grade A</t>
  </si>
  <si>
    <t>Production Utility Costs LGB Grade B</t>
  </si>
  <si>
    <t>Land Lease</t>
  </si>
  <si>
    <t>Cashflow from Operations</t>
  </si>
  <si>
    <t>Cashflow from Investing Activities</t>
  </si>
  <si>
    <t>Debt In</t>
  </si>
  <si>
    <t>Principal Payments</t>
  </si>
  <si>
    <t>Days in Stock</t>
  </si>
  <si>
    <t>Ending Inv. Value</t>
  </si>
  <si>
    <t>TUC International (Excl. JV)</t>
  </si>
  <si>
    <t>B2B Global</t>
  </si>
  <si>
    <t>Diego</t>
  </si>
  <si>
    <t>Margin %</t>
  </si>
  <si>
    <t>Global Margin %</t>
  </si>
  <si>
    <t>Carryforward Calculations</t>
  </si>
  <si>
    <t>Tax Expense/(Credit)</t>
  </si>
  <si>
    <t>Ending Balance</t>
  </si>
  <si>
    <t>Beginning Balance</t>
  </si>
  <si>
    <t>B2B Global &amp; R&amp;D</t>
  </si>
  <si>
    <t>Hong Kong</t>
  </si>
  <si>
    <t>Pints</t>
  </si>
  <si>
    <t>Novelty</t>
  </si>
  <si>
    <t>500gr</t>
  </si>
  <si>
    <t>Milk Barista</t>
  </si>
  <si>
    <t>Singapore</t>
  </si>
  <si>
    <t>Ice Cream Pints</t>
  </si>
  <si>
    <t>Ice Cream Novelties</t>
  </si>
  <si>
    <t>TUC JV</t>
  </si>
  <si>
    <t>Acquisition</t>
  </si>
  <si>
    <t>Income Taxes @25% (Blended Rate)</t>
  </si>
  <si>
    <t>Current Depreciation</t>
  </si>
  <si>
    <t>Pre-IPO</t>
  </si>
  <si>
    <t>Yes</t>
  </si>
  <si>
    <t>NPV &amp; IRR</t>
  </si>
  <si>
    <t>Accum. Loss</t>
  </si>
  <si>
    <t>Pele Financing</t>
  </si>
  <si>
    <t>Project Pele Financing Calculations</t>
  </si>
  <si>
    <t>Perfect Day Initial Contribution</t>
  </si>
  <si>
    <t>Perfect Day CAPEX Ph 1</t>
  </si>
  <si>
    <t>Perfect Day CAPEX Exp. Ph 1</t>
  </si>
  <si>
    <t>Perfect Day CAPEX Exp. Ph 2</t>
  </si>
  <si>
    <t>Perfect Day CAPEX LAA Ph 1</t>
  </si>
  <si>
    <t>Perfect Day CAPEX LAA Ph 2</t>
  </si>
  <si>
    <t>Perfect Day CAPEX Brazzein Ph 1</t>
  </si>
  <si>
    <t>Perfect Day CAPEX Brazzein Ph 2</t>
  </si>
  <si>
    <t>Total Equity CAPEX</t>
  </si>
  <si>
    <t>Expansion 1 Principal</t>
  </si>
  <si>
    <t>Expansion 2 Principal</t>
  </si>
  <si>
    <t>LAA Ph 1 Principal</t>
  </si>
  <si>
    <t>LAA Ph 2 Principal</t>
  </si>
  <si>
    <t>Brazzein Ph 1 Principal</t>
  </si>
  <si>
    <t>Brazzein Ph 2 Principal</t>
  </si>
  <si>
    <t>Total Principal</t>
  </si>
  <si>
    <t>Expansion 1 Interest</t>
  </si>
  <si>
    <t>Expansion 2 Interest</t>
  </si>
  <si>
    <t>LAA Ph 1 Interest</t>
  </si>
  <si>
    <t>LAA Ph2 Interest</t>
  </si>
  <si>
    <t>Brazzein Ph 1 Interest</t>
  </si>
  <si>
    <t>Brazzein Ph 2 Interest</t>
  </si>
  <si>
    <t>Preliminary Interest</t>
  </si>
  <si>
    <t>Origination Fee</t>
  </si>
  <si>
    <t>Yr2 Loan Commitment</t>
  </si>
  <si>
    <t>Yr3 Loan Commitment</t>
  </si>
  <si>
    <t>Total Interest</t>
  </si>
  <si>
    <t>Interest Payments</t>
  </si>
  <si>
    <t>Loan Balance</t>
  </si>
  <si>
    <t>Total SG&amp;A</t>
  </si>
  <si>
    <t>Inventory Turnover Days</t>
  </si>
  <si>
    <t>LGB/LAA/Brazzein</t>
  </si>
  <si>
    <t>Production</t>
  </si>
  <si>
    <t>Brazzein Vol</t>
  </si>
  <si>
    <t>Carryover</t>
  </si>
  <si>
    <t>Avg. Cost (Excl. SG&amp;A)</t>
  </si>
  <si>
    <t>Accum. Depreciation</t>
  </si>
  <si>
    <t>Add. to Retained Earnings</t>
  </si>
  <si>
    <t>SBL (Existing)</t>
  </si>
  <si>
    <t>B2B</t>
  </si>
  <si>
    <t>Eureka</t>
  </si>
  <si>
    <t>Balance Sheet Impact</t>
  </si>
  <si>
    <t>Change in LTD</t>
  </si>
  <si>
    <t>PD Global Ending Inventory</t>
  </si>
  <si>
    <t>Debt Financing Amounts Ph 1</t>
  </si>
  <si>
    <t>Debt Financing Amounts Exp.1</t>
  </si>
  <si>
    <t>Debt Financing Amounts Exp.2</t>
  </si>
  <si>
    <t>Debt Financing LAA Ph 1</t>
  </si>
  <si>
    <t>Debt Financing LAA Ph 2</t>
  </si>
  <si>
    <t>Debt Financing Brazzein Ph 1</t>
  </si>
  <si>
    <t>Debt Financing Brazzein Ph 2</t>
  </si>
  <si>
    <t>Total Debt Financing</t>
  </si>
  <si>
    <t>Loan Balances</t>
  </si>
  <si>
    <t>Ph 1</t>
  </si>
  <si>
    <t>Exp. 1</t>
  </si>
  <si>
    <t>Exp. 2</t>
  </si>
  <si>
    <t>LAA Ph 1</t>
  </si>
  <si>
    <t>LAA Ph 2</t>
  </si>
  <si>
    <t>Brazzein Ph 1</t>
  </si>
  <si>
    <t>Brazzein Ph 2</t>
  </si>
  <si>
    <t>Total Loan Balances</t>
  </si>
  <si>
    <t>Total CAPEX Ph1</t>
  </si>
  <si>
    <t>Initial PD Pmt</t>
  </si>
  <si>
    <t>CAPEX Balance After Initial PMT</t>
  </si>
  <si>
    <t>60% (Pre Debt Amount)</t>
  </si>
  <si>
    <t>40% (Pre Debt Amount)</t>
  </si>
  <si>
    <t>PD Amount</t>
  </si>
  <si>
    <t>TUC Demand</t>
  </si>
  <si>
    <t>Ph1 Principal</t>
  </si>
  <si>
    <t>Ph1 Balloon Payment</t>
  </si>
  <si>
    <t>Ph 1 Interest</t>
  </si>
  <si>
    <t>nth Bio</t>
  </si>
  <si>
    <t>Vege</t>
  </si>
  <si>
    <t>US</t>
  </si>
  <si>
    <t>Revenue Per Unit</t>
  </si>
  <si>
    <t>Weighted Avg. Revenue/Unit</t>
  </si>
  <si>
    <t>Ingredients</t>
  </si>
  <si>
    <t>TUC Intl</t>
  </si>
  <si>
    <t>Nth Bio</t>
  </si>
  <si>
    <t>2022</t>
  </si>
  <si>
    <t>2023</t>
  </si>
  <si>
    <t>2024</t>
  </si>
  <si>
    <t>2025</t>
  </si>
  <si>
    <t>2026</t>
  </si>
  <si>
    <t>2027</t>
  </si>
  <si>
    <t>2028</t>
  </si>
  <si>
    <t>2029</t>
  </si>
  <si>
    <t>2030</t>
  </si>
  <si>
    <t>2031</t>
  </si>
  <si>
    <t>LGB Volume</t>
  </si>
  <si>
    <t>CMOs</t>
  </si>
  <si>
    <t xml:space="preserve">vvvvvvvv         DO NOT INCLUDE WHEN SHARING EXTERNALLY                                                                             DO NOT INCLUDE WHEN SHARING EXTERNALLY                                                                             DO NOT INCLUDE WHEN SHARING EXTERNALLY                                                                             DO NOT INCLUDE WHEN SHARING EXTERNALLY                                                                             </t>
  </si>
  <si>
    <t>Evonik</t>
  </si>
  <si>
    <t>Project Eureka ROI</t>
  </si>
  <si>
    <t>Location 3</t>
  </si>
  <si>
    <t>Tax Loss Carryover:</t>
  </si>
  <si>
    <t>NPV (000's):</t>
  </si>
  <si>
    <t>Payback in Years:</t>
  </si>
  <si>
    <t>ROI On Year X:</t>
  </si>
  <si>
    <t>LGB</t>
  </si>
  <si>
    <t>Masar People Costs</t>
  </si>
  <si>
    <t>Masar Production Overheads</t>
  </si>
  <si>
    <t>Kara People Costs</t>
  </si>
  <si>
    <t>Kara Production Overheads</t>
  </si>
  <si>
    <t>LGB Production People Costs</t>
  </si>
  <si>
    <t>Project Eureka Financing Calculations</t>
  </si>
  <si>
    <t>Production Consumables Brazzein</t>
  </si>
  <si>
    <t>Partner Amount</t>
  </si>
  <si>
    <t>Project Playground ROI</t>
  </si>
  <si>
    <t>Project Playground Financing Calculations</t>
  </si>
  <si>
    <t>Masar Lovo</t>
  </si>
  <si>
    <t>Masar Pharma</t>
  </si>
  <si>
    <t>SBL (Excl. LGB)</t>
  </si>
  <si>
    <t>LGB Production Utilities Cost</t>
  </si>
  <si>
    <t>TUC Global</t>
  </si>
  <si>
    <t>SLC Pilot</t>
  </si>
  <si>
    <t>SBL Pilot</t>
  </si>
  <si>
    <t>SLC Ferm Farm</t>
  </si>
  <si>
    <t>India Ferm Farm</t>
  </si>
  <si>
    <t>S2S/uHTS</t>
  </si>
  <si>
    <t>License Revenue</t>
  </si>
  <si>
    <t>Milestone Revenue</t>
  </si>
  <si>
    <t>Licensing Revenue</t>
  </si>
  <si>
    <t>SLC Pilot COGS</t>
  </si>
  <si>
    <t>SBL Pilot COGS</t>
  </si>
  <si>
    <t>SLC Ferm Farm COGS</t>
  </si>
  <si>
    <t>India Ferm Farm COGS</t>
  </si>
  <si>
    <t>S2S/uHTS COGS</t>
  </si>
  <si>
    <t>Licensing COGS</t>
  </si>
  <si>
    <t>Milestone COGS</t>
  </si>
  <si>
    <t>License COGS</t>
  </si>
  <si>
    <t>License</t>
  </si>
  <si>
    <t>Milestone</t>
  </si>
  <si>
    <t>Licensing</t>
  </si>
  <si>
    <t>Total Margin</t>
  </si>
  <si>
    <t>Nth Bio Revenue</t>
  </si>
  <si>
    <t>Inflation Factor</t>
  </si>
  <si>
    <t>Revenue Per Pilot Reactor</t>
  </si>
  <si>
    <t># Of Pilot Reactors</t>
  </si>
  <si>
    <t>Revenue Per Bench Reactor</t>
  </si>
  <si>
    <t># Of Bench Reactors</t>
  </si>
  <si>
    <t>Ambr Revenue</t>
  </si>
  <si>
    <t>uHTS Revenue Per Program</t>
  </si>
  <si>
    <t># Of Programs</t>
  </si>
  <si>
    <t>Program Revenue</t>
  </si>
  <si>
    <t>Avg. License/JV Cash</t>
  </si>
  <si>
    <t>Licence Revenue</t>
  </si>
  <si>
    <t>% Success Rate</t>
  </si>
  <si>
    <t>Avg. Devel. Milestones/Program</t>
  </si>
  <si>
    <t>Expected Milestone Payment/Program</t>
  </si>
  <si>
    <t>Milestones Revenue</t>
  </si>
  <si>
    <t>Nth Bio Licencing Share</t>
  </si>
  <si>
    <t>hLAA Exp. Revenue</t>
  </si>
  <si>
    <t>Molecule X Exp. Revenue</t>
  </si>
  <si>
    <t>Molecyle Y Exp. Revenue</t>
  </si>
  <si>
    <t>Nth Bio COGS</t>
  </si>
  <si>
    <t>SLC Pilots Margin</t>
  </si>
  <si>
    <t>SBL Pilot Margin</t>
  </si>
  <si>
    <t>SLC Ferm Farm Margin</t>
  </si>
  <si>
    <t>India Ferm Farm Margin</t>
  </si>
  <si>
    <t>uHTS Program Margin</t>
  </si>
  <si>
    <t>Nth Bio Gross Profit/Margin</t>
  </si>
  <si>
    <t>uHTS</t>
  </si>
  <si>
    <t>PD B2B</t>
  </si>
  <si>
    <t>Nth Bio Berkeley</t>
  </si>
  <si>
    <t>Nth Bio SLC</t>
  </si>
  <si>
    <t>Commercialized Programs</t>
  </si>
  <si>
    <t>Nth Bio Berkeley R&amp;D</t>
  </si>
  <si>
    <t>Nth Bio SLC R&amp;D</t>
  </si>
  <si>
    <t>Overhead COGS Alloc</t>
  </si>
  <si>
    <t>COGS Overhead Allocation</t>
  </si>
  <si>
    <t>Reconciliation</t>
  </si>
  <si>
    <t>Nth Bio India</t>
  </si>
  <si>
    <t>Nth Bio SBF</t>
  </si>
  <si>
    <t>Corp. Services US</t>
  </si>
  <si>
    <t>Corp. Services India</t>
  </si>
  <si>
    <t>CS USA</t>
  </si>
  <si>
    <t>CS India</t>
  </si>
  <si>
    <t>Corporate Services</t>
  </si>
  <si>
    <t>Fixed Penalty</t>
  </si>
  <si>
    <t>Freight</t>
  </si>
  <si>
    <t>COGS OH Alloc</t>
  </si>
  <si>
    <t>Total Additional COGS</t>
  </si>
  <si>
    <t>Additional COGS</t>
  </si>
  <si>
    <t>Project Playground</t>
  </si>
  <si>
    <t>Eureka Financing</t>
  </si>
  <si>
    <t>Playground Financing</t>
  </si>
  <si>
    <t>Z1000 Olon</t>
  </si>
  <si>
    <t>Series E I</t>
  </si>
  <si>
    <t>Other R&amp;D</t>
  </si>
  <si>
    <t>Total LGB Production (both grades)</t>
  </si>
  <si>
    <t>Cost Reduction Initiative (Series E)</t>
  </si>
  <si>
    <t>Cose Reduction Initiative Series E</t>
  </si>
  <si>
    <t>Reduction in SG&amp;A Burn</t>
  </si>
  <si>
    <t>Corp. Services</t>
  </si>
  <si>
    <t>Berkeley Office Reduction</t>
  </si>
  <si>
    <t>Pharma Initiative (Sri/Bonney)</t>
  </si>
  <si>
    <t>Ingredient Sales Volume (in MT)</t>
  </si>
  <si>
    <t>Ingredient Production Volume (in MT)</t>
  </si>
  <si>
    <t>Existing Debt</t>
  </si>
  <si>
    <t>Non-SBL SG&amp;A Burn</t>
  </si>
  <si>
    <t>Net Rev/Unit</t>
  </si>
  <si>
    <t>Plant Metrics</t>
  </si>
  <si>
    <t>Plant</t>
  </si>
  <si>
    <t>Metric</t>
  </si>
  <si>
    <t>LGB Production (in MT)</t>
  </si>
  <si>
    <t>Utilities Spend/Kg LGB</t>
  </si>
  <si>
    <t>Consumable Spend/Kg LGB</t>
  </si>
  <si>
    <t>WPI Historical Prices</t>
  </si>
  <si>
    <t>2017</t>
  </si>
  <si>
    <t>2018</t>
  </si>
  <si>
    <t>2019</t>
  </si>
  <si>
    <t>2020</t>
  </si>
  <si>
    <t>2021</t>
  </si>
  <si>
    <t>Q3</t>
  </si>
  <si>
    <t>Q4</t>
  </si>
  <si>
    <t>Q1</t>
  </si>
  <si>
    <t>Q2</t>
  </si>
  <si>
    <t>Standard WPI ($/kg)</t>
  </si>
  <si>
    <t>Instant WPI ($/kg)</t>
  </si>
  <si>
    <t>Resulting SG&amp;A Burn</t>
  </si>
  <si>
    <t>Resulting Monthly SG&amp;A Burn</t>
  </si>
  <si>
    <t>Original SG&amp;A Burn</t>
  </si>
  <si>
    <t>Refinancing I</t>
  </si>
  <si>
    <t>Plants</t>
  </si>
  <si>
    <t>CMO Phase 1</t>
  </si>
  <si>
    <t>CMO Phase 2</t>
  </si>
  <si>
    <t>CMO Asset Sale Year</t>
  </si>
  <si>
    <t>Nth Bio I</t>
  </si>
  <si>
    <t>Nth Bio II</t>
  </si>
  <si>
    <t>Nth Bio III</t>
  </si>
  <si>
    <t>SLC Financing</t>
  </si>
  <si>
    <t>Z1000 External</t>
  </si>
  <si>
    <t>Total Other Comprehensive Income</t>
  </si>
  <si>
    <t>Other Comprehensive Income (Cash Basis)</t>
  </si>
  <si>
    <t>PD Project Playground Ownership %</t>
  </si>
  <si>
    <t>Equity IRR</t>
  </si>
  <si>
    <t>Equity Cashflows</t>
  </si>
  <si>
    <t>Operating Cashflows</t>
  </si>
  <si>
    <t>Debt Payments</t>
  </si>
  <si>
    <t>Project IRR:</t>
  </si>
  <si>
    <t>Equity IRR:</t>
  </si>
  <si>
    <t>Project NPV &amp; IRR</t>
  </si>
  <si>
    <t>Equity Cashflow</t>
  </si>
  <si>
    <t>Equity Contribution</t>
  </si>
  <si>
    <t>Equity Calculations</t>
  </si>
  <si>
    <t>Debt Raised</t>
  </si>
  <si>
    <t>Principal Paid</t>
  </si>
  <si>
    <t>Interest paid</t>
  </si>
  <si>
    <t>Sources of Capital</t>
  </si>
  <si>
    <t>Uses of Capital</t>
  </si>
  <si>
    <t>Particulars</t>
  </si>
  <si>
    <t>Amount (US$ Mn)</t>
  </si>
  <si>
    <t>Capex</t>
  </si>
  <si>
    <t>JV Equity (Australia &amp; Fourth Plant)</t>
  </si>
  <si>
    <t>JV Capex (Australia &amp; Fourth Plant)</t>
  </si>
  <si>
    <t>Operating Profit</t>
  </si>
  <si>
    <t>Debt Repayment</t>
  </si>
  <si>
    <t>India Acquisition</t>
  </si>
  <si>
    <t>TUC Acquisition</t>
  </si>
  <si>
    <t>Operating Loss (adjusted for net debt)</t>
  </si>
  <si>
    <t>Dec. 2022</t>
  </si>
  <si>
    <t>United States</t>
  </si>
  <si>
    <t>Italy</t>
  </si>
  <si>
    <t>England</t>
  </si>
  <si>
    <t>Mar. 2023</t>
  </si>
  <si>
    <t>Variance</t>
  </si>
  <si>
    <t>Avg. Salary</t>
  </si>
  <si>
    <t># of Employees</t>
  </si>
  <si>
    <t>Salary Expense (Est.)</t>
  </si>
  <si>
    <t>Corporate Services US</t>
  </si>
  <si>
    <t>Corporate Services India</t>
  </si>
  <si>
    <t>Nth Bio US</t>
  </si>
  <si>
    <t>Orig. Series E</t>
  </si>
  <si>
    <t>Updated Series E</t>
  </si>
  <si>
    <t>B2C</t>
  </si>
  <si>
    <t>Overheads 2023 - 2031 (Excl. SBL)</t>
  </si>
  <si>
    <t>Term. Value:</t>
  </si>
  <si>
    <t>Term. Val.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</si>
</sst>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8" formatCode="&quot;$&quot;#,##0.00_);[Red]\(&quot;$&quot;#,##0.00\)"/>
    <numFmt numFmtId="44" formatCode="_(&quot;$&quot;* #,##0.00_);_(&quot;$&quot;* \(#,##0.00\);_(&quot;$&quot;* &quot;-&quot;??_);_(@_)"/>
    <numFmt numFmtId="43" formatCode="_(* #,##0.00_);_(* \(#,##0.00\);_(* &quot;-&quot;??_);_(@_)"/>
    <numFmt numFmtId="164" formatCode="_(&quot;$&quot;* #,##0.0_);_(&quot;$&quot;* \(#,##0.0\);_(&quot;$&quot;* &quot;-&quot;??_);_(@_)"/>
    <numFmt numFmtId="165" formatCode="_(* #,##0_);_(* \(#,##0\);_(* &quot;-&quot;??_);_(@_)"/>
    <numFmt numFmtId="166" formatCode="_(&quot;$&quot;* #,##0_);_(&quot;$&quot;* \(#,##0\);_(&quot;$&quot;* &quot;-&quot;??_);_(@_)"/>
    <numFmt numFmtId="167" formatCode="#,##0_);&quot;(&quot;#,##0&quot;)&quot;;&quot;–&quot;_)"/>
    <numFmt numFmtId="168" formatCode="&quot;$&quot;#,##0.00_);&quot;(&quot;&quot;$&quot;#,##0.00&quot;)&quot;;&quot;–&quot;_)"/>
    <numFmt numFmtId="169" formatCode="&quot;$&quot;#,##0_);&quot;(&quot;&quot;$&quot;#,##0&quot;)&quot;;&quot;–&quot;_)"/>
    <numFmt numFmtId="170" formatCode="0.0%"/>
    <numFmt numFmtId="171" formatCode="0.0%;\(0.0%\)"/>
    <numFmt numFmtId="172" formatCode="#,##0.00_);&quot;(&quot;#,##0.00&quot;)&quot;;&quot;–&quot;_)"/>
    <numFmt numFmtId="173" formatCode="_(* #,##0.0_);_(* \(#,##0.0\);_(* &quot;-&quot;??_);_(@_)"/>
    <numFmt numFmtId="174" formatCode="0\ &quot;Years&quot;"/>
    <numFmt numFmtId="175" formatCode="_(&quot;$&quot;* #,##0.0_);_(&quot;$&quot;* \(#,##0.0\);_(&quot;$&quot;* &quot;-&quot;?_);_(@_)"/>
    <numFmt numFmtId="176" formatCode="_-* #,##0_-;\-* #,##0_-;_-* &quot;-&quot;_-;_-@_-"/>
    <numFmt numFmtId="177" formatCode="0%;\(0%\)"/>
  </numFmts>
  <fonts count="55">
    <font>
      <sz val="10"/>
      <color theme="1"/>
      <name val="Montserrat"/>
      <family val="2"/>
    </font>
    <font>
      <sz val="11"/>
      <color theme="1"/>
      <name val="Calibri"/>
      <family val="2"/>
      <scheme val="minor"/>
    </font>
    <font>
      <sz val="10"/>
      <color theme="1"/>
      <name val="Montserrat"/>
      <family val="2"/>
    </font>
    <font>
      <sz val="10"/>
      <name val="Arial"/>
      <family val="2"/>
    </font>
    <font>
      <sz val="11"/>
      <color theme="1"/>
      <name val="Calibri"/>
      <family val="2"/>
      <scheme val="minor"/>
    </font>
    <font>
      <sz val="10"/>
      <color theme="1"/>
      <name val="Calibri"/>
      <family val="2"/>
    </font>
    <font>
      <u/>
      <sz val="11"/>
      <color theme="10"/>
      <name val="Calibri"/>
      <family val="2"/>
      <scheme val="minor"/>
    </font>
    <font>
      <sz val="10"/>
      <color theme="1"/>
      <name val="Grenette Pro Light"/>
      <family val="1"/>
    </font>
    <font>
      <sz val="8"/>
      <name val="Montserrat"/>
      <family val="2"/>
    </font>
    <font>
      <b/>
      <sz val="26"/>
      <color theme="1"/>
      <name val="Grenette Pro Light"/>
      <family val="1"/>
    </font>
    <font>
      <b/>
      <sz val="10"/>
      <color theme="0"/>
      <name val="Grenette Pro Light"/>
      <family val="1"/>
    </font>
    <font>
      <sz val="10"/>
      <color theme="0"/>
      <name val="Grenette Pro Light"/>
      <family val="1"/>
    </font>
    <font>
      <sz val="10"/>
      <name val="Grenette Pro Light"/>
      <family val="1"/>
    </font>
    <font>
      <b/>
      <sz val="10"/>
      <color theme="1"/>
      <name val="Grenette Pro Light"/>
      <family val="1"/>
    </font>
    <font>
      <b/>
      <sz val="28"/>
      <name val="Grenette Pro Light"/>
      <family val="1"/>
    </font>
    <font>
      <b/>
      <u/>
      <sz val="28"/>
      <name val="Grenette Pro Light"/>
      <family val="1"/>
    </font>
    <font>
      <u/>
      <sz val="48"/>
      <name val="Grenette Pro Light"/>
      <family val="1"/>
    </font>
    <font>
      <b/>
      <sz val="10"/>
      <name val="Grenette Pro Light"/>
      <family val="1"/>
    </font>
    <font>
      <b/>
      <sz val="8"/>
      <name val="Grenette Pro Light"/>
      <family val="1"/>
    </font>
    <font>
      <sz val="10"/>
      <color rgb="FFA88000"/>
      <name val="Grenette Pro Light"/>
      <family val="1"/>
    </font>
    <font>
      <sz val="10"/>
      <color theme="0" tint="-0.34998626667073579"/>
      <name val="Grenette Pro Light"/>
      <family val="1"/>
    </font>
    <font>
      <b/>
      <u/>
      <sz val="10"/>
      <name val="Grenette Pro Light"/>
      <family val="1"/>
    </font>
    <font>
      <sz val="10"/>
      <color rgb="FFFF0000"/>
      <name val="Grenette Pro Light"/>
      <family val="1"/>
    </font>
    <font>
      <i/>
      <sz val="10"/>
      <name val="Grenette Pro Light"/>
      <family val="1"/>
    </font>
    <font>
      <b/>
      <i/>
      <sz val="10"/>
      <name val="Grenette Pro Light"/>
      <family val="1"/>
    </font>
    <font>
      <sz val="8"/>
      <name val="Grenette Pro Light"/>
      <family val="1"/>
    </font>
    <font>
      <sz val="8"/>
      <color theme="0" tint="-0.34998626667073579"/>
      <name val="Grenette Pro Light"/>
      <family val="1"/>
    </font>
    <font>
      <u/>
      <sz val="11"/>
      <name val="Grenette Pro Light"/>
      <family val="1"/>
    </font>
    <font>
      <sz val="10"/>
      <color rgb="FF000000"/>
      <name val="Grenette Pro Light"/>
      <family val="1"/>
    </font>
    <font>
      <b/>
      <sz val="10"/>
      <color rgb="FF000000"/>
      <name val="Grenette Pro Light"/>
      <family val="1"/>
    </font>
    <font>
      <b/>
      <sz val="9"/>
      <color theme="1"/>
      <name val="Grenette Pro Light"/>
      <family val="1"/>
    </font>
    <font>
      <b/>
      <sz val="16"/>
      <color theme="1"/>
      <name val="Grenette Pro Light"/>
      <family val="1"/>
    </font>
    <font>
      <sz val="10"/>
      <color rgb="FFCC5300"/>
      <name val="Grenette Pro Light"/>
      <family val="1"/>
    </font>
    <font>
      <b/>
      <sz val="10"/>
      <color rgb="FFFF0000"/>
      <name val="Grenette Pro Light"/>
      <family val="1"/>
    </font>
    <font>
      <b/>
      <sz val="10"/>
      <color theme="1"/>
      <name val="Montserrat"/>
    </font>
    <font>
      <sz val="10"/>
      <color theme="1"/>
      <name val="Montserrat"/>
    </font>
    <font>
      <sz val="8"/>
      <color theme="0" tint="-0.249977111117893"/>
      <name val="Grenette Pro Light"/>
      <family val="1"/>
    </font>
    <font>
      <sz val="10"/>
      <color rgb="FF926F00"/>
      <name val="Grenette Pro Light"/>
      <family val="1"/>
    </font>
    <font>
      <b/>
      <sz val="10"/>
      <color rgb="FF926F00"/>
      <name val="Grenette Pro Light"/>
      <family val="1"/>
    </font>
    <font>
      <sz val="11"/>
      <color theme="1"/>
      <name val="Grenette Pro Light"/>
      <family val="1"/>
    </font>
    <font>
      <b/>
      <sz val="11"/>
      <color theme="1"/>
      <name val="Grenette Pro Light"/>
      <family val="1"/>
    </font>
    <font>
      <sz val="8"/>
      <color theme="0" tint="-0.249977111117893"/>
      <name val="Montserrat"/>
      <family val="2"/>
    </font>
    <font>
      <u/>
      <sz val="10"/>
      <color theme="1"/>
      <name val="Grenette Pro Light"/>
      <family val="1"/>
    </font>
    <font>
      <b/>
      <sz val="10"/>
      <color rgb="FF00B050"/>
      <name val="Grenette Pro Light"/>
      <family val="1"/>
    </font>
    <font>
      <sz val="11"/>
      <color rgb="FF3F3F76"/>
      <name val="Calibri"/>
      <family val="2"/>
      <scheme val="minor"/>
    </font>
    <font>
      <b/>
      <sz val="11"/>
      <color rgb="FFFA7D00"/>
      <name val="Calibri"/>
      <family val="2"/>
      <scheme val="minor"/>
    </font>
    <font>
      <b/>
      <sz val="10"/>
      <color theme="0"/>
      <name val="Montserrat"/>
    </font>
    <font>
      <sz val="10"/>
      <color theme="0"/>
      <name val="Montserrat"/>
    </font>
    <font>
      <b/>
      <sz val="12"/>
      <color rgb="FFFFFFFF"/>
      <name val="Canaccord Effra Light"/>
    </font>
    <font>
      <b/>
      <sz val="12"/>
      <color rgb="FF1E1E1E"/>
      <name val="Canaccord Effra Light"/>
    </font>
    <font>
      <sz val="10"/>
      <color rgb="FF000000"/>
      <name val="Canaccord Effra Light"/>
    </font>
    <font>
      <sz val="10"/>
      <color rgb="FF000000"/>
      <name val="Canaccord Effra"/>
    </font>
    <font>
      <b/>
      <sz val="10"/>
      <color rgb="FF000000"/>
      <name val="Canaccord Effra Light"/>
    </font>
    <font>
      <b/>
      <sz val="10"/>
      <color rgb="FF000000"/>
      <name val="Canaccord Effra"/>
    </font>
    <font>
      <sz val="10"/>
      <color theme="0"/>
      <name val="Montserrat"/>
      <family val="2"/>
    </font>
  </fonts>
  <fills count="54">
    <fill>
      <patternFill patternType="none"/>
    </fill>
    <fill>
      <patternFill patternType="gray125"/>
    </fill>
    <fill>
      <patternFill patternType="solid">
        <fgColor rgb="FFFFFF00"/>
        <bgColor indexed="64"/>
      </patternFill>
    </fill>
    <fill>
      <patternFill patternType="solid">
        <fgColor theme="6" tint="0.79998168889431442"/>
        <bgColor indexed="64"/>
      </patternFill>
    </fill>
    <fill>
      <patternFill patternType="solid">
        <fgColor theme="6" tint="-0.249977111117893"/>
        <bgColor indexed="64"/>
      </patternFill>
    </fill>
    <fill>
      <patternFill patternType="solid">
        <fgColor theme="8" tint="-0.499984740745262"/>
        <bgColor indexed="64"/>
      </patternFill>
    </fill>
    <fill>
      <patternFill patternType="solid">
        <fgColor theme="6" tint="-0.49998474074526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9" tint="0.39997558519241921"/>
        <bgColor indexed="64"/>
      </patternFill>
    </fill>
    <fill>
      <patternFill patternType="solid">
        <fgColor theme="5" tint="-0.49998474074526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rgb="FFFFC000"/>
        <bgColor indexed="64"/>
      </patternFill>
    </fill>
    <fill>
      <patternFill patternType="solid">
        <fgColor theme="5" tint="0.59999389629810485"/>
        <bgColor indexed="64"/>
      </patternFill>
    </fill>
    <fill>
      <patternFill patternType="solid">
        <fgColor theme="3" tint="-0.249977111117893"/>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3" tint="-0.499984740745262"/>
        <bgColor indexed="64"/>
      </patternFill>
    </fill>
    <fill>
      <patternFill patternType="solid">
        <fgColor rgb="FF642800"/>
        <bgColor indexed="64"/>
      </patternFill>
    </fill>
    <fill>
      <patternFill patternType="solid">
        <fgColor theme="8"/>
        <bgColor indexed="64"/>
      </patternFill>
    </fill>
    <fill>
      <patternFill patternType="solid">
        <fgColor rgb="FFF5F3EF"/>
        <bgColor indexed="64"/>
      </patternFill>
    </fill>
    <fill>
      <patternFill patternType="solid">
        <fgColor rgb="FFE7E1D7"/>
        <bgColor indexed="64"/>
      </patternFill>
    </fill>
    <fill>
      <patternFill patternType="solid">
        <fgColor rgb="FF92D050"/>
        <bgColor indexed="64"/>
      </patternFill>
    </fill>
    <fill>
      <patternFill patternType="solid">
        <fgColor theme="7" tint="0.39997558519241921"/>
        <bgColor indexed="64"/>
      </patternFill>
    </fill>
    <fill>
      <patternFill patternType="solid">
        <fgColor rgb="FFFDFDFD"/>
        <bgColor indexed="64"/>
      </patternFill>
    </fill>
    <fill>
      <patternFill patternType="solid">
        <fgColor theme="9" tint="-0.249977111117893"/>
        <bgColor indexed="64"/>
      </patternFill>
    </fill>
    <fill>
      <patternFill patternType="solid">
        <fgColor theme="9" tint="0.79998168889431442"/>
        <bgColor indexed="64"/>
      </patternFill>
    </fill>
    <fill>
      <patternFill patternType="solid">
        <fgColor rgb="FFFFFFC5"/>
        <bgColor indexed="64"/>
      </patternFill>
    </fill>
    <fill>
      <patternFill patternType="solid">
        <fgColor rgb="FFA63862"/>
        <bgColor indexed="64"/>
      </patternFill>
    </fill>
    <fill>
      <patternFill patternType="solid">
        <fgColor rgb="FF00B050"/>
        <bgColor indexed="64"/>
      </patternFill>
    </fill>
    <fill>
      <patternFill patternType="solid">
        <fgColor theme="9" tint="-0.499984740745262"/>
        <bgColor indexed="64"/>
      </patternFill>
    </fill>
    <fill>
      <patternFill patternType="solid">
        <fgColor rgb="FFFFE593"/>
        <bgColor indexed="64"/>
      </patternFill>
    </fill>
    <fill>
      <patternFill patternType="solid">
        <fgColor rgb="FFF9F8F5"/>
        <bgColor indexed="64"/>
      </patternFill>
    </fill>
    <fill>
      <patternFill patternType="solid">
        <fgColor rgb="FFEDEAE3"/>
        <bgColor indexed="64"/>
      </patternFill>
    </fill>
    <fill>
      <patternFill patternType="solid">
        <fgColor theme="4" tint="0.39997558519241921"/>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2" tint="-0.749992370372631"/>
        <bgColor indexed="64"/>
      </patternFill>
    </fill>
    <fill>
      <patternFill patternType="solid">
        <fgColor theme="1" tint="0.34998626667073579"/>
        <bgColor indexed="64"/>
      </patternFill>
    </fill>
    <fill>
      <patternFill patternType="solid">
        <fgColor theme="9"/>
        <bgColor indexed="64"/>
      </patternFill>
    </fill>
    <fill>
      <patternFill patternType="solid">
        <fgColor rgb="FFE1E5EB"/>
        <bgColor indexed="64"/>
      </patternFill>
    </fill>
    <fill>
      <patternFill patternType="solid">
        <fgColor rgb="FFFFCC99"/>
      </patternFill>
    </fill>
    <fill>
      <patternFill patternType="solid">
        <fgColor rgb="FFF2F2F2"/>
      </patternFill>
    </fill>
    <fill>
      <patternFill patternType="solid">
        <fgColor theme="9" tint="-0.749992370372631"/>
        <bgColor indexed="64"/>
      </patternFill>
    </fill>
    <fill>
      <patternFill patternType="solid">
        <fgColor rgb="FF3A3838"/>
        <bgColor indexed="64"/>
      </patternFill>
    </fill>
    <fill>
      <patternFill patternType="solid">
        <fgColor rgb="FF00295A"/>
        <bgColor indexed="64"/>
      </patternFill>
    </fill>
    <fill>
      <patternFill patternType="solid">
        <fgColor rgb="FFCBCDD1"/>
        <bgColor indexed="64"/>
      </patternFill>
    </fill>
    <fill>
      <patternFill patternType="solid">
        <fgColor rgb="FFE7E8EA"/>
        <bgColor indexed="64"/>
      </patternFill>
    </fill>
    <fill>
      <patternFill patternType="solid">
        <fgColor theme="7" tint="-0.499984740745262"/>
        <bgColor indexed="64"/>
      </patternFill>
    </fill>
  </fills>
  <borders count="45">
    <border>
      <left/>
      <right/>
      <top/>
      <bottom/>
      <diagonal/>
    </border>
    <border>
      <left/>
      <right/>
      <top style="hair">
        <color auto="1"/>
      </top>
      <bottom style="hair">
        <color auto="1"/>
      </bottom>
      <diagonal/>
    </border>
    <border>
      <left/>
      <right/>
      <top style="thin">
        <color auto="1"/>
      </top>
      <bottom style="medium">
        <color auto="1"/>
      </bottom>
      <diagonal/>
    </border>
    <border>
      <left/>
      <right/>
      <top/>
      <bottom style="double">
        <color indexed="64"/>
      </bottom>
      <diagonal/>
    </border>
    <border>
      <left/>
      <right/>
      <top/>
      <bottom style="hair">
        <color auto="1"/>
      </bottom>
      <diagonal/>
    </border>
    <border>
      <left/>
      <right/>
      <top style="hair">
        <color auto="1"/>
      </top>
      <bottom/>
      <diagonal/>
    </border>
    <border>
      <left/>
      <right/>
      <top/>
      <bottom style="thin">
        <color indexed="64"/>
      </bottom>
      <diagonal/>
    </border>
    <border>
      <left/>
      <right/>
      <top style="thin">
        <color indexed="64"/>
      </top>
      <bottom style="double">
        <color indexed="64"/>
      </bottom>
      <diagonal/>
    </border>
    <border>
      <left/>
      <right/>
      <top style="thin">
        <color auto="1"/>
      </top>
      <bottom style="thin">
        <color auto="1"/>
      </bottom>
      <diagonal/>
    </border>
    <border>
      <left/>
      <right/>
      <top style="thin">
        <color indexed="64"/>
      </top>
      <bottom style="hair">
        <color indexed="64"/>
      </bottom>
      <diagonal/>
    </border>
    <border>
      <left style="hair">
        <color auto="1"/>
      </left>
      <right/>
      <top style="thin">
        <color indexed="64"/>
      </top>
      <bottom style="hair">
        <color indexed="64"/>
      </bottom>
      <diagonal/>
    </border>
    <border>
      <left/>
      <right/>
      <top style="hair">
        <color indexed="64"/>
      </top>
      <bottom style="medium">
        <color indexed="64"/>
      </bottom>
      <diagonal/>
    </border>
    <border>
      <left style="hair">
        <color indexed="64"/>
      </left>
      <right/>
      <top style="hair">
        <color indexed="64"/>
      </top>
      <bottom style="medium">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style="hair">
        <color auto="1"/>
      </left>
      <right/>
      <top style="thin">
        <color indexed="64"/>
      </top>
      <bottom style="thin">
        <color indexed="64"/>
      </bottom>
      <diagonal/>
    </border>
    <border>
      <left style="hair">
        <color auto="1"/>
      </left>
      <right/>
      <top style="thin">
        <color auto="1"/>
      </top>
      <bottom style="medium">
        <color indexed="64"/>
      </bottom>
      <diagonal/>
    </border>
    <border>
      <left style="hair">
        <color auto="1"/>
      </left>
      <right/>
      <top/>
      <bottom/>
      <diagonal/>
    </border>
    <border>
      <left style="hair">
        <color indexed="64"/>
      </left>
      <right/>
      <top style="hair">
        <color indexed="64"/>
      </top>
      <bottom style="hair">
        <color indexed="64"/>
      </bottom>
      <diagonal/>
    </border>
    <border>
      <left style="hair">
        <color indexed="64"/>
      </left>
      <right/>
      <top/>
      <bottom style="hair">
        <color indexed="64"/>
      </bottom>
      <diagonal/>
    </border>
    <border>
      <left style="hair">
        <color indexed="64"/>
      </left>
      <right/>
      <top style="hair">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ck">
        <color rgb="FF00B050"/>
      </left>
      <right style="thick">
        <color rgb="FF00B050"/>
      </right>
      <top style="thick">
        <color rgb="FF00B050"/>
      </top>
      <bottom/>
      <diagonal/>
    </border>
    <border>
      <left style="thick">
        <color rgb="FF00B050"/>
      </left>
      <right style="thick">
        <color rgb="FF00B050"/>
      </right>
      <top/>
      <bottom/>
      <diagonal/>
    </border>
    <border>
      <left style="thick">
        <color rgb="FF00B050"/>
      </left>
      <right style="thick">
        <color rgb="FF00B050"/>
      </right>
      <top/>
      <bottom style="thick">
        <color rgb="FF00B050"/>
      </bottom>
      <diagonal/>
    </border>
    <border diagonalUp="1" diagonalDown="1">
      <left/>
      <right/>
      <top/>
      <bottom/>
      <diagonal style="thin">
        <color auto="1"/>
      </diagonal>
    </border>
    <border>
      <left style="thin">
        <color rgb="FF7F7F7F"/>
      </left>
      <right style="thin">
        <color rgb="FF7F7F7F"/>
      </right>
      <top style="thin">
        <color rgb="FF7F7F7F"/>
      </top>
      <bottom style="thin">
        <color rgb="FF7F7F7F"/>
      </bottom>
      <diagonal/>
    </border>
    <border>
      <left style="medium">
        <color theme="8"/>
      </left>
      <right/>
      <top style="medium">
        <color theme="8"/>
      </top>
      <bottom/>
      <diagonal/>
    </border>
    <border diagonalUp="1" diagonalDown="1">
      <left/>
      <right/>
      <top style="medium">
        <color theme="8"/>
      </top>
      <bottom/>
      <diagonal style="thin">
        <color auto="1"/>
      </diagonal>
    </border>
    <border>
      <left/>
      <right/>
      <top style="medium">
        <color theme="8"/>
      </top>
      <bottom/>
      <diagonal/>
    </border>
    <border>
      <left/>
      <right style="medium">
        <color theme="8"/>
      </right>
      <top style="medium">
        <color theme="8"/>
      </top>
      <bottom/>
      <diagonal/>
    </border>
    <border>
      <left style="medium">
        <color theme="8"/>
      </left>
      <right/>
      <top/>
      <bottom style="medium">
        <color theme="8"/>
      </bottom>
      <diagonal/>
    </border>
    <border diagonalUp="1" diagonalDown="1">
      <left/>
      <right/>
      <top/>
      <bottom style="medium">
        <color theme="8"/>
      </bottom>
      <diagonal style="thin">
        <color auto="1"/>
      </diagonal>
    </border>
    <border>
      <left/>
      <right/>
      <top/>
      <bottom style="medium">
        <color theme="8"/>
      </bottom>
      <diagonal/>
    </border>
    <border>
      <left/>
      <right style="medium">
        <color theme="8"/>
      </right>
      <top/>
      <bottom style="medium">
        <color theme="8"/>
      </bottom>
      <diagonal/>
    </border>
    <border>
      <left style="hair">
        <color indexed="64"/>
      </left>
      <right/>
      <top style="medium">
        <color indexed="64"/>
      </top>
      <bottom/>
      <diagonal/>
    </border>
    <border>
      <left/>
      <right/>
      <top/>
      <bottom style="medium">
        <color indexed="64"/>
      </bottom>
      <diagonal/>
    </border>
    <border>
      <left style="hair">
        <color auto="1"/>
      </left>
      <right/>
      <top/>
      <bottom style="medium">
        <color auto="1"/>
      </bottom>
      <diagonal/>
    </border>
    <border>
      <left/>
      <right/>
      <top style="medium">
        <color auto="1"/>
      </top>
      <bottom style="medium">
        <color indexed="64"/>
      </bottom>
      <diagonal/>
    </border>
    <border>
      <left/>
      <right/>
      <top style="medium">
        <color auto="1"/>
      </top>
      <bottom style="hair">
        <color auto="1"/>
      </bottom>
      <diagonal/>
    </border>
    <border>
      <left style="medium">
        <color rgb="FFFFFFFF"/>
      </left>
      <right/>
      <top style="medium">
        <color rgb="FFFFFFFF"/>
      </top>
      <bottom style="thick">
        <color rgb="FFFFFFFF"/>
      </bottom>
      <diagonal/>
    </border>
    <border>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s>
  <cellStyleXfs count="16">
    <xf numFmtId="0" fontId="0" fillId="0" borderId="0"/>
    <xf numFmtId="43" fontId="2" fillId="0" borderId="0" applyFont="0" applyFill="0" applyBorder="0" applyAlignment="0" applyProtection="0"/>
    <xf numFmtId="44" fontId="2" fillId="0" borderId="0" applyFont="0" applyFill="0" applyBorder="0" applyAlignment="0" applyProtection="0"/>
    <xf numFmtId="0" fontId="3" fillId="0" borderId="0"/>
    <xf numFmtId="0" fontId="4" fillId="0" borderId="0"/>
    <xf numFmtId="0" fontId="5" fillId="0" borderId="0"/>
    <xf numFmtId="0" fontId="6" fillId="0" borderId="0" applyNumberFormat="0" applyFill="0" applyBorder="0" applyAlignment="0" applyProtection="0"/>
    <xf numFmtId="0" fontId="1" fillId="0" borderId="0"/>
    <xf numFmtId="44" fontId="1"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44" fontId="3" fillId="0" borderId="0" applyFont="0" applyFill="0" applyBorder="0" applyAlignment="0" applyProtection="0"/>
    <xf numFmtId="43" fontId="1" fillId="0" borderId="0" applyFont="0" applyFill="0" applyBorder="0" applyAlignment="0" applyProtection="0"/>
    <xf numFmtId="9" fontId="2" fillId="0" borderId="0" applyFont="0" applyFill="0" applyBorder="0" applyAlignment="0" applyProtection="0"/>
    <xf numFmtId="0" fontId="44" fillId="46" borderId="27" applyNumberFormat="0" applyAlignment="0" applyProtection="0"/>
    <xf numFmtId="0" fontId="45" fillId="47" borderId="27" applyNumberFormat="0" applyAlignment="0" applyProtection="0"/>
  </cellStyleXfs>
  <cellXfs count="597">
    <xf numFmtId="0" fontId="0" fillId="0" borderId="0" xfId="0"/>
    <xf numFmtId="165" fontId="7" fillId="0" borderId="0" xfId="1" applyNumberFormat="1" applyFont="1"/>
    <xf numFmtId="49" fontId="7" fillId="0" borderId="0" xfId="1" applyNumberFormat="1" applyFont="1" applyAlignment="1">
      <alignment vertical="top"/>
    </xf>
    <xf numFmtId="49" fontId="7" fillId="0" borderId="0" xfId="1" applyNumberFormat="1" applyFont="1"/>
    <xf numFmtId="49" fontId="7" fillId="0" borderId="0" xfId="1" applyNumberFormat="1" applyFont="1" applyAlignment="1">
      <alignment horizontal="left" indent="2"/>
    </xf>
    <xf numFmtId="9" fontId="7" fillId="0" borderId="0" xfId="1" applyNumberFormat="1" applyFont="1"/>
    <xf numFmtId="170" fontId="7" fillId="0" borderId="0" xfId="1" applyNumberFormat="1" applyFont="1"/>
    <xf numFmtId="49" fontId="7" fillId="0" borderId="0" xfId="1" applyNumberFormat="1" applyFont="1" applyAlignment="1">
      <alignment vertical="top" wrapText="1"/>
    </xf>
    <xf numFmtId="0" fontId="7" fillId="0" borderId="0" xfId="0" applyFont="1"/>
    <xf numFmtId="0" fontId="7" fillId="6" borderId="0" xfId="0" applyFont="1" applyFill="1"/>
    <xf numFmtId="0" fontId="9" fillId="7" borderId="0" xfId="0" applyFont="1" applyFill="1" applyAlignment="1">
      <alignment horizontal="left" vertical="center"/>
    </xf>
    <xf numFmtId="0" fontId="7" fillId="7" borderId="0" xfId="0" applyFont="1" applyFill="1"/>
    <xf numFmtId="0" fontId="10" fillId="5" borderId="0" xfId="0" applyFont="1" applyFill="1"/>
    <xf numFmtId="0" fontId="10" fillId="5" borderId="0" xfId="0" applyFont="1" applyFill="1" applyAlignment="1">
      <alignment horizontal="center"/>
    </xf>
    <xf numFmtId="164" fontId="7" fillId="0" borderId="0" xfId="2" applyNumberFormat="1" applyFont="1"/>
    <xf numFmtId="0" fontId="11" fillId="0" borderId="0" xfId="0" applyFont="1"/>
    <xf numFmtId="0" fontId="10" fillId="8" borderId="1" xfId="0" applyFont="1" applyFill="1" applyBorder="1" applyAlignment="1">
      <alignment horizontal="left"/>
    </xf>
    <xf numFmtId="166" fontId="10" fillId="8" borderId="1" xfId="2" applyNumberFormat="1" applyFont="1" applyFill="1" applyBorder="1"/>
    <xf numFmtId="0" fontId="12" fillId="0" borderId="0" xfId="0" applyFont="1"/>
    <xf numFmtId="0" fontId="7" fillId="0" borderId="1" xfId="0" applyFont="1" applyBorder="1" applyAlignment="1">
      <alignment horizontal="left" indent="1"/>
    </xf>
    <xf numFmtId="166" fontId="7" fillId="0" borderId="1" xfId="2" applyNumberFormat="1" applyFont="1" applyBorder="1"/>
    <xf numFmtId="0" fontId="12" fillId="0" borderId="1" xfId="0" applyFont="1" applyBorder="1"/>
    <xf numFmtId="166" fontId="7" fillId="0" borderId="1" xfId="2" applyNumberFormat="1" applyFont="1" applyFill="1" applyBorder="1"/>
    <xf numFmtId="0" fontId="13" fillId="0" borderId="2" xfId="0" applyFont="1" applyBorder="1" applyAlignment="1">
      <alignment horizontal="left" indent="1"/>
    </xf>
    <xf numFmtId="166" fontId="13" fillId="0" borderId="2" xfId="2" applyNumberFormat="1" applyFont="1" applyBorder="1"/>
    <xf numFmtId="9" fontId="7" fillId="0" borderId="1" xfId="2" applyNumberFormat="1" applyFont="1" applyBorder="1"/>
    <xf numFmtId="0" fontId="10" fillId="9" borderId="1" xfId="0" applyFont="1" applyFill="1" applyBorder="1" applyAlignment="1">
      <alignment horizontal="left"/>
    </xf>
    <xf numFmtId="166" fontId="10" fillId="9" borderId="1" xfId="2" applyNumberFormat="1" applyFont="1" applyFill="1" applyBorder="1"/>
    <xf numFmtId="0" fontId="10" fillId="19" borderId="1" xfId="0" applyFont="1" applyFill="1" applyBorder="1" applyAlignment="1">
      <alignment horizontal="left"/>
    </xf>
    <xf numFmtId="166" fontId="10" fillId="19" borderId="1" xfId="2" applyNumberFormat="1" applyFont="1" applyFill="1" applyBorder="1"/>
    <xf numFmtId="49" fontId="7" fillId="0" borderId="0" xfId="1" applyNumberFormat="1" applyFont="1" applyAlignment="1">
      <alignment horizontal="left" indent="1"/>
    </xf>
    <xf numFmtId="0" fontId="12" fillId="7" borderId="0" xfId="0" applyFont="1" applyFill="1"/>
    <xf numFmtId="0" fontId="12" fillId="24" borderId="0" xfId="0" applyFont="1" applyFill="1"/>
    <xf numFmtId="0" fontId="14" fillId="0" borderId="0" xfId="0" applyFont="1" applyAlignment="1">
      <alignment vertical="center"/>
    </xf>
    <xf numFmtId="0" fontId="15" fillId="0" borderId="0" xfId="3" applyFont="1" applyAlignment="1">
      <alignment horizontal="centerContinuous" vertical="center"/>
    </xf>
    <xf numFmtId="0" fontId="16" fillId="0" borderId="0" xfId="0" applyFont="1" applyAlignment="1">
      <alignment horizontal="centerContinuous" vertical="center"/>
    </xf>
    <xf numFmtId="167" fontId="17" fillId="0" borderId="0" xfId="3" applyNumberFormat="1" applyFont="1" applyAlignment="1">
      <alignment horizontal="right"/>
    </xf>
    <xf numFmtId="167" fontId="12" fillId="0" borderId="0" xfId="3" applyNumberFormat="1" applyFont="1"/>
    <xf numFmtId="0" fontId="12" fillId="0" borderId="0" xfId="3" applyFont="1"/>
    <xf numFmtId="172" fontId="12" fillId="0" borderId="0" xfId="3" applyNumberFormat="1" applyFont="1"/>
    <xf numFmtId="9" fontId="12" fillId="0" borderId="0" xfId="3" applyNumberFormat="1" applyFont="1"/>
    <xf numFmtId="174" fontId="17" fillId="0" borderId="0" xfId="3" applyNumberFormat="1" applyFont="1"/>
    <xf numFmtId="167" fontId="17" fillId="0" borderId="9" xfId="3" applyNumberFormat="1" applyFont="1" applyBorder="1" applyAlignment="1">
      <alignment horizontal="right"/>
    </xf>
    <xf numFmtId="167" fontId="17" fillId="0" borderId="13" xfId="3" applyNumberFormat="1" applyFont="1" applyBorder="1" applyAlignment="1">
      <alignment horizontal="right"/>
    </xf>
    <xf numFmtId="167" fontId="17" fillId="25" borderId="8" xfId="3" applyNumberFormat="1" applyFont="1" applyFill="1" applyBorder="1" applyAlignment="1">
      <alignment horizontal="right"/>
    </xf>
    <xf numFmtId="0" fontId="12" fillId="7" borderId="0" xfId="0" applyFont="1" applyFill="1" applyAlignment="1">
      <alignment horizontal="center"/>
    </xf>
    <xf numFmtId="0" fontId="12" fillId="0" borderId="0" xfId="0" applyFont="1" applyAlignment="1">
      <alignment horizontal="center"/>
    </xf>
    <xf numFmtId="0" fontId="20" fillId="0" borderId="0" xfId="4" applyFont="1" applyAlignment="1">
      <alignment horizontal="right"/>
    </xf>
    <xf numFmtId="0" fontId="17" fillId="26" borderId="2" xfId="3" applyFont="1" applyFill="1" applyBorder="1"/>
    <xf numFmtId="0" fontId="21" fillId="26" borderId="16" xfId="3" applyFont="1" applyFill="1" applyBorder="1" applyAlignment="1">
      <alignment horizontal="center"/>
    </xf>
    <xf numFmtId="0" fontId="21" fillId="26" borderId="2" xfId="3" applyFont="1" applyFill="1" applyBorder="1" applyAlignment="1">
      <alignment horizontal="center"/>
    </xf>
    <xf numFmtId="0" fontId="12" fillId="8" borderId="0" xfId="0" applyFont="1" applyFill="1"/>
    <xf numFmtId="0" fontId="17" fillId="0" borderId="1" xfId="3" applyFont="1" applyBorder="1"/>
    <xf numFmtId="0" fontId="12" fillId="0" borderId="1" xfId="3" applyFont="1" applyBorder="1"/>
    <xf numFmtId="0" fontId="17" fillId="25" borderId="1" xfId="3" applyFont="1" applyFill="1" applyBorder="1"/>
    <xf numFmtId="0" fontId="17" fillId="0" borderId="0" xfId="3" applyFont="1"/>
    <xf numFmtId="169" fontId="17" fillId="0" borderId="17" xfId="3" applyNumberFormat="1" applyFont="1" applyBorder="1" applyAlignment="1">
      <alignment horizontal="right"/>
    </xf>
    <xf numFmtId="169" fontId="17" fillId="0" borderId="0" xfId="3" applyNumberFormat="1" applyFont="1" applyAlignment="1">
      <alignment horizontal="right"/>
    </xf>
    <xf numFmtId="0" fontId="17" fillId="0" borderId="0" xfId="3" applyFont="1" applyAlignment="1">
      <alignment horizontal="center"/>
    </xf>
    <xf numFmtId="0" fontId="17" fillId="7" borderId="0" xfId="0" applyFont="1" applyFill="1"/>
    <xf numFmtId="0" fontId="17" fillId="0" borderId="0" xfId="0" applyFont="1"/>
    <xf numFmtId="0" fontId="12" fillId="0" borderId="4" xfId="3" applyFont="1" applyBorder="1"/>
    <xf numFmtId="167" fontId="12" fillId="0" borderId="18" xfId="3" applyNumberFormat="1" applyFont="1" applyBorder="1" applyAlignment="1">
      <alignment horizontal="right"/>
    </xf>
    <xf numFmtId="167" fontId="12" fillId="0" borderId="1" xfId="3" applyNumberFormat="1" applyFont="1" applyBorder="1" applyAlignment="1">
      <alignment horizontal="right"/>
    </xf>
    <xf numFmtId="168" fontId="17" fillId="0" borderId="18" xfId="3" applyNumberFormat="1" applyFont="1" applyBorder="1" applyAlignment="1">
      <alignment horizontal="right"/>
    </xf>
    <xf numFmtId="168" fontId="17" fillId="0" borderId="1" xfId="3" applyNumberFormat="1" applyFont="1" applyBorder="1" applyAlignment="1">
      <alignment horizontal="right"/>
    </xf>
    <xf numFmtId="44" fontId="17" fillId="0" borderId="0" xfId="0" applyNumberFormat="1" applyFont="1"/>
    <xf numFmtId="0" fontId="17" fillId="0" borderId="5" xfId="3" applyFont="1" applyBorder="1"/>
    <xf numFmtId="0" fontId="17" fillId="25" borderId="9" xfId="3" applyFont="1" applyFill="1" applyBorder="1"/>
    <xf numFmtId="0" fontId="23" fillId="7" borderId="0" xfId="0" applyFont="1" applyFill="1"/>
    <xf numFmtId="0" fontId="23" fillId="0" borderId="0" xfId="0" applyFont="1"/>
    <xf numFmtId="0" fontId="24" fillId="25" borderId="11" xfId="3" applyFont="1" applyFill="1" applyBorder="1"/>
    <xf numFmtId="170" fontId="24" fillId="25" borderId="12" xfId="3" applyNumberFormat="1" applyFont="1" applyFill="1" applyBorder="1" applyAlignment="1">
      <alignment horizontal="right"/>
    </xf>
    <xf numFmtId="170" fontId="24" fillId="25" borderId="11" xfId="3" applyNumberFormat="1" applyFont="1" applyFill="1" applyBorder="1" applyAlignment="1">
      <alignment horizontal="right"/>
    </xf>
    <xf numFmtId="0" fontId="17" fillId="0" borderId="4" xfId="3" applyFont="1" applyBorder="1"/>
    <xf numFmtId="169" fontId="17" fillId="0" borderId="19" xfId="3" applyNumberFormat="1" applyFont="1" applyBorder="1" applyAlignment="1">
      <alignment horizontal="right"/>
    </xf>
    <xf numFmtId="169" fontId="17" fillId="0" borderId="4" xfId="3" applyNumberFormat="1" applyFont="1" applyBorder="1" applyAlignment="1">
      <alignment horizontal="right"/>
    </xf>
    <xf numFmtId="0" fontId="17" fillId="25" borderId="2" xfId="3" applyFont="1" applyFill="1" applyBorder="1"/>
    <xf numFmtId="0" fontId="12" fillId="0" borderId="1" xfId="3" applyFont="1" applyBorder="1" applyAlignment="1">
      <alignment horizontal="left" indent="1"/>
    </xf>
    <xf numFmtId="0" fontId="12" fillId="0" borderId="5" xfId="5" applyFont="1" applyBorder="1"/>
    <xf numFmtId="0" fontId="12" fillId="28" borderId="0" xfId="0" applyFont="1" applyFill="1"/>
    <xf numFmtId="0" fontId="12" fillId="0" borderId="17" xfId="0" applyFont="1" applyBorder="1"/>
    <xf numFmtId="44" fontId="12" fillId="0" borderId="0" xfId="0" applyNumberFormat="1" applyFont="1"/>
    <xf numFmtId="0" fontId="17" fillId="26" borderId="11" xfId="0" applyFont="1" applyFill="1" applyBorder="1"/>
    <xf numFmtId="0" fontId="25" fillId="7" borderId="0" xfId="0" applyFont="1" applyFill="1"/>
    <xf numFmtId="0" fontId="25" fillId="0" borderId="0" xfId="0" applyFont="1"/>
    <xf numFmtId="0" fontId="25" fillId="0" borderId="17" xfId="0" applyFont="1" applyBorder="1"/>
    <xf numFmtId="0" fontId="17" fillId="0" borderId="9" xfId="0" applyFont="1" applyBorder="1" applyAlignment="1">
      <alignment horizontal="left"/>
    </xf>
    <xf numFmtId="0" fontId="12" fillId="0" borderId="1" xfId="0" applyFont="1" applyBorder="1" applyAlignment="1">
      <alignment horizontal="left" indent="1"/>
    </xf>
    <xf numFmtId="0" fontId="17" fillId="25" borderId="11" xfId="0" applyFont="1" applyFill="1" applyBorder="1"/>
    <xf numFmtId="0" fontId="27" fillId="0" borderId="0" xfId="6" applyFont="1" applyFill="1" applyBorder="1"/>
    <xf numFmtId="0" fontId="28" fillId="0" borderId="0" xfId="7" applyFont="1"/>
    <xf numFmtId="0" fontId="7" fillId="0" borderId="0" xfId="7" applyFont="1"/>
    <xf numFmtId="0" fontId="10" fillId="30" borderId="0" xfId="7" applyFont="1" applyFill="1"/>
    <xf numFmtId="0" fontId="11" fillId="30" borderId="0" xfId="7" applyFont="1" applyFill="1"/>
    <xf numFmtId="0" fontId="7" fillId="7" borderId="0" xfId="7" applyFont="1" applyFill="1"/>
    <xf numFmtId="0" fontId="12" fillId="7" borderId="0" xfId="7" applyFont="1" applyFill="1"/>
    <xf numFmtId="0" fontId="29" fillId="31" borderId="0" xfId="7" applyFont="1" applyFill="1"/>
    <xf numFmtId="0" fontId="29" fillId="0" borderId="0" xfId="7" applyFont="1"/>
    <xf numFmtId="0" fontId="30" fillId="7" borderId="0" xfId="0" applyFont="1" applyFill="1" applyAlignment="1">
      <alignment horizontal="left" vertical="center"/>
    </xf>
    <xf numFmtId="0" fontId="13" fillId="0" borderId="0" xfId="0" applyFont="1"/>
    <xf numFmtId="0" fontId="7" fillId="0" borderId="1" xfId="0" applyFont="1" applyBorder="1" applyAlignment="1">
      <alignment horizontal="left" indent="2"/>
    </xf>
    <xf numFmtId="164" fontId="7" fillId="0" borderId="1" xfId="2" applyNumberFormat="1" applyFont="1" applyBorder="1"/>
    <xf numFmtId="0" fontId="7" fillId="0" borderId="0" xfId="0" applyFont="1" applyAlignment="1">
      <alignment horizontal="left" indent="1"/>
    </xf>
    <xf numFmtId="0" fontId="13" fillId="3" borderId="1" xfId="0" applyFont="1" applyFill="1" applyBorder="1" applyAlignment="1">
      <alignment horizontal="left" indent="1"/>
    </xf>
    <xf numFmtId="165" fontId="13" fillId="3" borderId="1" xfId="1" applyNumberFormat="1" applyFont="1" applyFill="1" applyBorder="1"/>
    <xf numFmtId="9" fontId="7" fillId="0" borderId="0" xfId="2" applyNumberFormat="1" applyFont="1"/>
    <xf numFmtId="0" fontId="7" fillId="0" borderId="0" xfId="0" applyFont="1" applyAlignment="1">
      <alignment horizontal="left" indent="2"/>
    </xf>
    <xf numFmtId="0" fontId="10" fillId="4" borderId="1" xfId="0" applyFont="1" applyFill="1" applyBorder="1" applyAlignment="1">
      <alignment horizontal="left"/>
    </xf>
    <xf numFmtId="165" fontId="10" fillId="4" borderId="1" xfId="1" applyNumberFormat="1" applyFont="1" applyFill="1" applyBorder="1"/>
    <xf numFmtId="0" fontId="7" fillId="29" borderId="1" xfId="0" applyFont="1" applyFill="1" applyBorder="1" applyAlignment="1">
      <alignment horizontal="left" indent="1"/>
    </xf>
    <xf numFmtId="165" fontId="7" fillId="29" borderId="1" xfId="1" applyNumberFormat="1" applyFont="1" applyFill="1" applyBorder="1"/>
    <xf numFmtId="164" fontId="7" fillId="0" borderId="0" xfId="2" applyNumberFormat="1" applyFont="1" applyBorder="1"/>
    <xf numFmtId="0" fontId="7" fillId="7" borderId="1" xfId="0" applyFont="1" applyFill="1" applyBorder="1" applyAlignment="1">
      <alignment horizontal="left" indent="1"/>
    </xf>
    <xf numFmtId="165" fontId="7" fillId="7" borderId="1" xfId="1" applyNumberFormat="1" applyFont="1" applyFill="1" applyBorder="1"/>
    <xf numFmtId="0" fontId="7" fillId="32" borderId="1" xfId="0" applyFont="1" applyFill="1" applyBorder="1" applyAlignment="1">
      <alignment horizontal="left" indent="1"/>
    </xf>
    <xf numFmtId="164" fontId="7" fillId="32" borderId="1" xfId="2" applyNumberFormat="1" applyFont="1" applyFill="1" applyBorder="1"/>
    <xf numFmtId="166" fontId="13" fillId="3" borderId="1" xfId="2" applyNumberFormat="1" applyFont="1" applyFill="1" applyBorder="1"/>
    <xf numFmtId="0" fontId="7" fillId="0" borderId="1" xfId="0" applyFont="1" applyBorder="1" applyAlignment="1">
      <alignment horizontal="left"/>
    </xf>
    <xf numFmtId="166" fontId="7" fillId="3" borderId="1" xfId="2" applyNumberFormat="1" applyFont="1" applyFill="1" applyBorder="1"/>
    <xf numFmtId="0" fontId="7" fillId="3" borderId="1" xfId="0" applyFont="1" applyFill="1" applyBorder="1" applyAlignment="1">
      <alignment horizontal="left"/>
    </xf>
    <xf numFmtId="0" fontId="13" fillId="0" borderId="0" xfId="7" applyFont="1"/>
    <xf numFmtId="0" fontId="10" fillId="33" borderId="0" xfId="0" applyFont="1" applyFill="1" applyAlignment="1">
      <alignment horizontal="centerContinuous"/>
    </xf>
    <xf numFmtId="0" fontId="31" fillId="7" borderId="0" xfId="0" applyFont="1" applyFill="1" applyAlignment="1">
      <alignment horizontal="left" vertical="center"/>
    </xf>
    <xf numFmtId="0" fontId="7" fillId="0" borderId="4" xfId="0" applyFont="1" applyBorder="1" applyAlignment="1">
      <alignment horizontal="left" indent="1"/>
    </xf>
    <xf numFmtId="165" fontId="7" fillId="0" borderId="4" xfId="1" applyNumberFormat="1" applyFont="1" applyBorder="1"/>
    <xf numFmtId="170" fontId="13" fillId="0" borderId="2" xfId="2" applyNumberFormat="1" applyFont="1" applyBorder="1"/>
    <xf numFmtId="170" fontId="7" fillId="0" borderId="4" xfId="1" applyNumberFormat="1" applyFont="1" applyBorder="1"/>
    <xf numFmtId="166" fontId="7" fillId="0" borderId="4" xfId="2" applyNumberFormat="1" applyFont="1" applyBorder="1"/>
    <xf numFmtId="166" fontId="7" fillId="0" borderId="0" xfId="2" applyNumberFormat="1" applyFont="1"/>
    <xf numFmtId="165" fontId="22" fillId="29" borderId="1" xfId="1" applyNumberFormat="1" applyFont="1" applyFill="1" applyBorder="1"/>
    <xf numFmtId="165" fontId="10" fillId="19" borderId="1" xfId="1" applyNumberFormat="1" applyFont="1" applyFill="1" applyBorder="1"/>
    <xf numFmtId="175" fontId="7" fillId="0" borderId="0" xfId="0" applyNumberFormat="1" applyFont="1"/>
    <xf numFmtId="166" fontId="7" fillId="0" borderId="0" xfId="0" applyNumberFormat="1" applyFont="1"/>
    <xf numFmtId="0" fontId="7" fillId="29" borderId="5" xfId="0" applyFont="1" applyFill="1" applyBorder="1" applyAlignment="1">
      <alignment horizontal="left" indent="1"/>
    </xf>
    <xf numFmtId="165" fontId="7" fillId="29" borderId="5" xfId="1" applyNumberFormat="1" applyFont="1" applyFill="1" applyBorder="1"/>
    <xf numFmtId="0" fontId="7" fillId="29" borderId="4" xfId="0" applyFont="1" applyFill="1" applyBorder="1" applyAlignment="1">
      <alignment horizontal="left" indent="1"/>
    </xf>
    <xf numFmtId="165" fontId="7" fillId="29" borderId="4" xfId="1" applyNumberFormat="1" applyFont="1" applyFill="1" applyBorder="1"/>
    <xf numFmtId="0" fontId="13" fillId="3" borderId="7" xfId="0" applyFont="1" applyFill="1" applyBorder="1" applyAlignment="1">
      <alignment horizontal="left"/>
    </xf>
    <xf numFmtId="165" fontId="13" fillId="3" borderId="7" xfId="1" applyNumberFormat="1" applyFont="1" applyFill="1" applyBorder="1"/>
    <xf numFmtId="0" fontId="10" fillId="23" borderId="0" xfId="0" applyFont="1" applyFill="1" applyAlignment="1">
      <alignment horizontal="centerContinuous"/>
    </xf>
    <xf numFmtId="0" fontId="10" fillId="22" borderId="0" xfId="0" applyFont="1" applyFill="1" applyAlignment="1">
      <alignment horizontal="centerContinuous"/>
    </xf>
    <xf numFmtId="0" fontId="10" fillId="4" borderId="0" xfId="0" applyFont="1" applyFill="1" applyAlignment="1">
      <alignment horizontal="left"/>
    </xf>
    <xf numFmtId="165" fontId="17" fillId="12" borderId="0" xfId="1" applyNumberFormat="1" applyFont="1" applyFill="1" applyBorder="1" applyAlignment="1">
      <alignment horizontal="centerContinuous"/>
    </xf>
    <xf numFmtId="165" fontId="10" fillId="12" borderId="0" xfId="1" applyNumberFormat="1" applyFont="1" applyFill="1" applyBorder="1" applyAlignment="1">
      <alignment horizontal="centerContinuous"/>
    </xf>
    <xf numFmtId="165" fontId="17" fillId="20" borderId="0" xfId="1" applyNumberFormat="1" applyFont="1" applyFill="1" applyBorder="1" applyAlignment="1">
      <alignment horizontal="centerContinuous"/>
    </xf>
    <xf numFmtId="165" fontId="10" fillId="20" borderId="0" xfId="1" applyNumberFormat="1" applyFont="1" applyFill="1" applyBorder="1" applyAlignment="1">
      <alignment horizontal="centerContinuous"/>
    </xf>
    <xf numFmtId="165" fontId="17" fillId="8" borderId="0" xfId="1" applyNumberFormat="1" applyFont="1" applyFill="1" applyBorder="1" applyAlignment="1">
      <alignment horizontal="centerContinuous"/>
    </xf>
    <xf numFmtId="165" fontId="10" fillId="8" borderId="0" xfId="1" applyNumberFormat="1" applyFont="1" applyFill="1" applyBorder="1" applyAlignment="1">
      <alignment horizontal="centerContinuous"/>
    </xf>
    <xf numFmtId="165" fontId="17" fillId="14" borderId="0" xfId="1" applyNumberFormat="1" applyFont="1" applyFill="1" applyBorder="1" applyAlignment="1">
      <alignment horizontal="centerContinuous"/>
    </xf>
    <xf numFmtId="165" fontId="10" fillId="14" borderId="0" xfId="1" applyNumberFormat="1" applyFont="1" applyFill="1" applyBorder="1" applyAlignment="1">
      <alignment horizontal="centerContinuous"/>
    </xf>
    <xf numFmtId="170" fontId="32" fillId="0" borderId="4" xfId="2" applyNumberFormat="1" applyFont="1" applyBorder="1"/>
    <xf numFmtId="165" fontId="7" fillId="0" borderId="1" xfId="1" applyNumberFormat="1" applyFont="1" applyBorder="1"/>
    <xf numFmtId="170" fontId="32" fillId="0" borderId="1" xfId="2" applyNumberFormat="1" applyFont="1" applyBorder="1"/>
    <xf numFmtId="170" fontId="7" fillId="0" borderId="1" xfId="1" applyNumberFormat="1" applyFont="1" applyBorder="1"/>
    <xf numFmtId="0" fontId="13" fillId="0" borderId="2" xfId="0" applyFont="1" applyBorder="1"/>
    <xf numFmtId="165" fontId="13" fillId="0" borderId="2" xfId="1" applyNumberFormat="1" applyFont="1" applyBorder="1"/>
    <xf numFmtId="165" fontId="17" fillId="12" borderId="0" xfId="1" applyNumberFormat="1" applyFont="1" applyFill="1" applyAlignment="1">
      <alignment horizontal="centerContinuous"/>
    </xf>
    <xf numFmtId="165" fontId="10" fillId="12" borderId="0" xfId="1" applyNumberFormat="1" applyFont="1" applyFill="1" applyAlignment="1">
      <alignment horizontal="centerContinuous"/>
    </xf>
    <xf numFmtId="44" fontId="7" fillId="0" borderId="4" xfId="2" applyFont="1" applyBorder="1"/>
    <xf numFmtId="44" fontId="7" fillId="0" borderId="1" xfId="2" applyFont="1" applyBorder="1"/>
    <xf numFmtId="166" fontId="7" fillId="34" borderId="1" xfId="2" applyNumberFormat="1" applyFont="1" applyFill="1" applyBorder="1"/>
    <xf numFmtId="165" fontId="17" fillId="20" borderId="0" xfId="1" applyNumberFormat="1" applyFont="1" applyFill="1" applyAlignment="1">
      <alignment horizontal="centerContinuous"/>
    </xf>
    <xf numFmtId="165" fontId="10" fillId="20" borderId="0" xfId="1" applyNumberFormat="1" applyFont="1" applyFill="1" applyAlignment="1">
      <alignment horizontal="centerContinuous"/>
    </xf>
    <xf numFmtId="9" fontId="7" fillId="0" borderId="4" xfId="1" applyNumberFormat="1" applyFont="1" applyBorder="1"/>
    <xf numFmtId="9" fontId="7" fillId="0" borderId="1" xfId="1" applyNumberFormat="1" applyFont="1" applyBorder="1"/>
    <xf numFmtId="166" fontId="7" fillId="34" borderId="4" xfId="2" applyNumberFormat="1" applyFont="1" applyFill="1" applyBorder="1"/>
    <xf numFmtId="165" fontId="7" fillId="17" borderId="1" xfId="1" applyNumberFormat="1" applyFont="1" applyFill="1" applyBorder="1"/>
    <xf numFmtId="9" fontId="7" fillId="0" borderId="4" xfId="2" applyNumberFormat="1" applyFont="1" applyBorder="1"/>
    <xf numFmtId="166" fontId="7" fillId="17" borderId="0" xfId="2" applyNumberFormat="1" applyFont="1" applyFill="1"/>
    <xf numFmtId="4" fontId="32" fillId="0" borderId="4" xfId="2" applyNumberFormat="1" applyFont="1" applyBorder="1"/>
    <xf numFmtId="165" fontId="7" fillId="2" borderId="1" xfId="1" applyNumberFormat="1" applyFont="1" applyFill="1" applyBorder="1"/>
    <xf numFmtId="0" fontId="7" fillId="0" borderId="1" xfId="1" applyNumberFormat="1" applyFont="1" applyBorder="1" applyAlignment="1">
      <alignment horizontal="left" indent="1"/>
    </xf>
    <xf numFmtId="166" fontId="13" fillId="0" borderId="2" xfId="0" applyNumberFormat="1" applyFont="1" applyBorder="1"/>
    <xf numFmtId="0" fontId="10" fillId="10" borderId="1" xfId="0" applyFont="1" applyFill="1" applyBorder="1" applyAlignment="1">
      <alignment horizontal="left"/>
    </xf>
    <xf numFmtId="166" fontId="10" fillId="10" borderId="1" xfId="2" applyNumberFormat="1" applyFont="1" applyFill="1" applyBorder="1"/>
    <xf numFmtId="0" fontId="13" fillId="0" borderId="0" xfId="0" applyFont="1" applyAlignment="1">
      <alignment horizontal="left" indent="1"/>
    </xf>
    <xf numFmtId="166" fontId="13" fillId="0" borderId="0" xfId="0" applyNumberFormat="1" applyFont="1"/>
    <xf numFmtId="9" fontId="13" fillId="0" borderId="0" xfId="0" applyNumberFormat="1" applyFont="1"/>
    <xf numFmtId="0" fontId="7" fillId="7" borderId="0" xfId="7" applyFont="1" applyFill="1" applyAlignment="1">
      <alignment horizontal="right"/>
    </xf>
    <xf numFmtId="0" fontId="7" fillId="0" borderId="0" xfId="7" applyFont="1" applyAlignment="1">
      <alignment horizontal="right"/>
    </xf>
    <xf numFmtId="0" fontId="10" fillId="35" borderId="0" xfId="7" applyFont="1" applyFill="1" applyAlignment="1">
      <alignment horizontal="centerContinuous"/>
    </xf>
    <xf numFmtId="0" fontId="11" fillId="35" borderId="0" xfId="7" applyFont="1" applyFill="1" applyAlignment="1">
      <alignment horizontal="centerContinuous"/>
    </xf>
    <xf numFmtId="0" fontId="13" fillId="0" borderId="4" xfId="7" applyFont="1" applyBorder="1"/>
    <xf numFmtId="0" fontId="13" fillId="0" borderId="1" xfId="7" applyFont="1" applyBorder="1"/>
    <xf numFmtId="164" fontId="13" fillId="18" borderId="18" xfId="2" applyNumberFormat="1" applyFont="1" applyFill="1" applyBorder="1"/>
    <xf numFmtId="3" fontId="13" fillId="18" borderId="19" xfId="8" applyNumberFormat="1" applyFont="1" applyFill="1" applyBorder="1"/>
    <xf numFmtId="0" fontId="10" fillId="35" borderId="21" xfId="7" quotePrefix="1" applyFont="1" applyFill="1" applyBorder="1" applyAlignment="1">
      <alignment horizontal="left"/>
    </xf>
    <xf numFmtId="0" fontId="10" fillId="35" borderId="2" xfId="7" applyFont="1" applyFill="1" applyBorder="1" applyAlignment="1">
      <alignment horizontal="center"/>
    </xf>
    <xf numFmtId="0" fontId="10" fillId="35" borderId="22" xfId="7" applyFont="1" applyFill="1" applyBorder="1" applyAlignment="1">
      <alignment horizontal="center"/>
    </xf>
    <xf numFmtId="0" fontId="13" fillId="0" borderId="11" xfId="7" applyFont="1" applyBorder="1"/>
    <xf numFmtId="164" fontId="7" fillId="0" borderId="11" xfId="2" applyNumberFormat="1" applyFont="1" applyBorder="1"/>
    <xf numFmtId="164" fontId="13" fillId="18" borderId="12" xfId="2" applyNumberFormat="1" applyFont="1" applyFill="1" applyBorder="1"/>
    <xf numFmtId="173" fontId="7" fillId="0" borderId="4" xfId="1" applyNumberFormat="1" applyFont="1" applyBorder="1"/>
    <xf numFmtId="173" fontId="13" fillId="18" borderId="19" xfId="8" applyNumberFormat="1" applyFont="1" applyFill="1" applyBorder="1"/>
    <xf numFmtId="0" fontId="7" fillId="2" borderId="0" xfId="7" applyFont="1" applyFill="1"/>
    <xf numFmtId="170" fontId="32" fillId="0" borderId="0" xfId="2" applyNumberFormat="1" applyFont="1" applyBorder="1"/>
    <xf numFmtId="4" fontId="32" fillId="0" borderId="0" xfId="2" applyNumberFormat="1" applyFont="1" applyBorder="1"/>
    <xf numFmtId="165" fontId="7" fillId="0" borderId="0" xfId="1" applyNumberFormat="1" applyFont="1" applyBorder="1"/>
    <xf numFmtId="9" fontId="7" fillId="0" borderId="0" xfId="1" applyNumberFormat="1" applyFont="1" applyBorder="1"/>
    <xf numFmtId="44" fontId="7" fillId="0" borderId="0" xfId="2" applyFont="1" applyBorder="1"/>
    <xf numFmtId="9" fontId="7" fillId="0" borderId="0" xfId="2" applyNumberFormat="1" applyFont="1" applyBorder="1"/>
    <xf numFmtId="166" fontId="7" fillId="0" borderId="0" xfId="2" applyNumberFormat="1" applyFont="1" applyBorder="1"/>
    <xf numFmtId="170" fontId="7" fillId="0" borderId="0" xfId="1" applyNumberFormat="1" applyFont="1" applyBorder="1"/>
    <xf numFmtId="0" fontId="13" fillId="21" borderId="0" xfId="0" applyFont="1" applyFill="1"/>
    <xf numFmtId="0" fontId="7" fillId="36" borderId="1" xfId="0" applyFont="1" applyFill="1" applyBorder="1"/>
    <xf numFmtId="166" fontId="13" fillId="0" borderId="0" xfId="2" applyNumberFormat="1" applyFont="1"/>
    <xf numFmtId="165" fontId="7" fillId="36" borderId="1" xfId="1" applyNumberFormat="1" applyFont="1" applyFill="1" applyBorder="1" applyAlignment="1">
      <alignment horizontal="center"/>
    </xf>
    <xf numFmtId="165" fontId="7" fillId="0" borderId="0" xfId="1" applyNumberFormat="1" applyFont="1" applyAlignment="1">
      <alignment horizontal="center"/>
    </xf>
    <xf numFmtId="166" fontId="12" fillId="0" borderId="0" xfId="2" applyNumberFormat="1" applyFont="1" applyFill="1" applyBorder="1" applyAlignment="1">
      <alignment horizontal="right"/>
    </xf>
    <xf numFmtId="166" fontId="12" fillId="0" borderId="0" xfId="2" applyNumberFormat="1" applyFont="1" applyBorder="1"/>
    <xf numFmtId="9" fontId="7" fillId="0" borderId="0" xfId="0" applyNumberFormat="1" applyFont="1"/>
    <xf numFmtId="170" fontId="7" fillId="0" borderId="1" xfId="2" applyNumberFormat="1" applyFont="1" applyBorder="1"/>
    <xf numFmtId="170" fontId="7" fillId="0" borderId="0" xfId="2" applyNumberFormat="1" applyFont="1" applyBorder="1"/>
    <xf numFmtId="0" fontId="7" fillId="0" borderId="5" xfId="0" applyFont="1" applyBorder="1" applyAlignment="1">
      <alignment horizontal="left" indent="1"/>
    </xf>
    <xf numFmtId="170" fontId="7" fillId="0" borderId="0" xfId="2" applyNumberFormat="1" applyFont="1"/>
    <xf numFmtId="165" fontId="7" fillId="0" borderId="0" xfId="0" applyNumberFormat="1" applyFont="1"/>
    <xf numFmtId="170" fontId="7" fillId="27" borderId="0" xfId="2" applyNumberFormat="1" applyFont="1" applyFill="1" applyBorder="1"/>
    <xf numFmtId="166" fontId="7" fillId="0" borderId="5" xfId="2" applyNumberFormat="1" applyFont="1" applyFill="1" applyBorder="1"/>
    <xf numFmtId="170" fontId="7" fillId="0" borderId="5" xfId="2" applyNumberFormat="1" applyFont="1" applyBorder="1"/>
    <xf numFmtId="170" fontId="13" fillId="0" borderId="0" xfId="2" applyNumberFormat="1" applyFont="1" applyBorder="1"/>
    <xf numFmtId="170" fontId="7" fillId="0" borderId="4" xfId="2" applyNumberFormat="1" applyFont="1" applyBorder="1"/>
    <xf numFmtId="164" fontId="10" fillId="5" borderId="0" xfId="2" applyNumberFormat="1" applyFont="1" applyFill="1"/>
    <xf numFmtId="164" fontId="13" fillId="0" borderId="0" xfId="2" applyNumberFormat="1" applyFont="1"/>
    <xf numFmtId="0" fontId="13" fillId="7" borderId="0" xfId="0" applyFont="1" applyFill="1"/>
    <xf numFmtId="164" fontId="13" fillId="7" borderId="0" xfId="2" applyNumberFormat="1" applyFont="1" applyFill="1"/>
    <xf numFmtId="165" fontId="7" fillId="7" borderId="0" xfId="1" applyNumberFormat="1" applyFont="1" applyFill="1"/>
    <xf numFmtId="166" fontId="7" fillId="7" borderId="0" xfId="2" applyNumberFormat="1" applyFont="1" applyFill="1"/>
    <xf numFmtId="0" fontId="13" fillId="15" borderId="0" xfId="0" applyFont="1" applyFill="1"/>
    <xf numFmtId="0" fontId="7" fillId="15" borderId="0" xfId="0" applyFont="1" applyFill="1"/>
    <xf numFmtId="164" fontId="7" fillId="15" borderId="0" xfId="2" applyNumberFormat="1" applyFont="1" applyFill="1"/>
    <xf numFmtId="0" fontId="7" fillId="3" borderId="0" xfId="0" applyFont="1" applyFill="1"/>
    <xf numFmtId="165" fontId="7" fillId="3" borderId="0" xfId="1" applyNumberFormat="1" applyFont="1" applyFill="1"/>
    <xf numFmtId="170" fontId="7" fillId="3" borderId="0" xfId="1" applyNumberFormat="1" applyFont="1" applyFill="1"/>
    <xf numFmtId="0" fontId="13" fillId="3" borderId="0" xfId="0" applyFont="1" applyFill="1"/>
    <xf numFmtId="164" fontId="7" fillId="3" borderId="0" xfId="2" applyNumberFormat="1" applyFont="1" applyFill="1"/>
    <xf numFmtId="0" fontId="18" fillId="0" borderId="0" xfId="0" applyFont="1"/>
    <xf numFmtId="0" fontId="18" fillId="3" borderId="0" xfId="0" applyFont="1" applyFill="1"/>
    <xf numFmtId="0" fontId="25" fillId="3" borderId="0" xfId="0" applyFont="1" applyFill="1"/>
    <xf numFmtId="0" fontId="18" fillId="21" borderId="0" xfId="0" applyFont="1" applyFill="1"/>
    <xf numFmtId="0" fontId="25" fillId="21" borderId="0" xfId="0" applyFont="1" applyFill="1"/>
    <xf numFmtId="0" fontId="0" fillId="7" borderId="0" xfId="0" applyFill="1"/>
    <xf numFmtId="164" fontId="0" fillId="0" borderId="0" xfId="2" applyNumberFormat="1" applyFont="1"/>
    <xf numFmtId="164" fontId="34" fillId="0" borderId="0" xfId="2" applyNumberFormat="1" applyFont="1"/>
    <xf numFmtId="164" fontId="35" fillId="0" borderId="0" xfId="2" applyNumberFormat="1" applyFont="1"/>
    <xf numFmtId="167" fontId="17" fillId="25" borderId="18" xfId="3" applyNumberFormat="1" applyFont="1" applyFill="1" applyBorder="1" applyAlignment="1">
      <alignment horizontal="right"/>
    </xf>
    <xf numFmtId="167" fontId="17" fillId="25" borderId="1" xfId="3" applyNumberFormat="1" applyFont="1" applyFill="1" applyBorder="1" applyAlignment="1">
      <alignment horizontal="right"/>
    </xf>
    <xf numFmtId="0" fontId="17" fillId="8" borderId="0" xfId="0" applyFont="1" applyFill="1"/>
    <xf numFmtId="0" fontId="17" fillId="25" borderId="8" xfId="5" applyFont="1" applyFill="1" applyBorder="1"/>
    <xf numFmtId="0" fontId="12" fillId="0" borderId="0" xfId="5" applyFont="1" applyAlignment="1">
      <alignment horizontal="left" indent="1"/>
    </xf>
    <xf numFmtId="0" fontId="12" fillId="0" borderId="0" xfId="5" applyFont="1"/>
    <xf numFmtId="0" fontId="17" fillId="37" borderId="9" xfId="5" applyFont="1" applyFill="1" applyBorder="1"/>
    <xf numFmtId="0" fontId="17" fillId="37" borderId="8" xfId="5" applyFont="1" applyFill="1" applyBorder="1"/>
    <xf numFmtId="0" fontId="17" fillId="0" borderId="6" xfId="0" applyFont="1" applyBorder="1"/>
    <xf numFmtId="0" fontId="17" fillId="7" borderId="6" xfId="0" applyFont="1" applyFill="1" applyBorder="1"/>
    <xf numFmtId="0" fontId="17" fillId="0" borderId="0" xfId="5" applyFont="1"/>
    <xf numFmtId="0" fontId="17" fillId="38" borderId="2" xfId="5" applyFont="1" applyFill="1" applyBorder="1"/>
    <xf numFmtId="0" fontId="36" fillId="0" borderId="0" xfId="0" applyFont="1"/>
    <xf numFmtId="170" fontId="12" fillId="0" borderId="0" xfId="0" applyNumberFormat="1" applyFont="1"/>
    <xf numFmtId="166" fontId="12" fillId="0" borderId="0" xfId="0" applyNumberFormat="1" applyFont="1"/>
    <xf numFmtId="166" fontId="13" fillId="0" borderId="0" xfId="2" applyNumberFormat="1" applyFont="1" applyBorder="1"/>
    <xf numFmtId="9" fontId="7" fillId="0" borderId="1" xfId="2" applyNumberFormat="1" applyFont="1" applyFill="1" applyBorder="1"/>
    <xf numFmtId="9" fontId="13" fillId="0" borderId="0" xfId="2" applyNumberFormat="1" applyFont="1" applyBorder="1"/>
    <xf numFmtId="44" fontId="7" fillId="0" borderId="0" xfId="0" applyNumberFormat="1" applyFont="1"/>
    <xf numFmtId="0" fontId="13" fillId="0" borderId="1" xfId="0" applyFont="1" applyBorder="1"/>
    <xf numFmtId="166" fontId="13" fillId="0" borderId="1" xfId="2" applyNumberFormat="1" applyFont="1" applyBorder="1"/>
    <xf numFmtId="44" fontId="33" fillId="0" borderId="0" xfId="0" applyNumberFormat="1" applyFont="1"/>
    <xf numFmtId="0" fontId="17" fillId="38" borderId="9" xfId="5" applyFont="1" applyFill="1" applyBorder="1"/>
    <xf numFmtId="171" fontId="17" fillId="38" borderId="10" xfId="5" applyNumberFormat="1" applyFont="1" applyFill="1" applyBorder="1"/>
    <xf numFmtId="171" fontId="17" fillId="38" borderId="9" xfId="5" applyNumberFormat="1" applyFont="1" applyFill="1" applyBorder="1"/>
    <xf numFmtId="0" fontId="39" fillId="7" borderId="0" xfId="0" applyFont="1" applyFill="1"/>
    <xf numFmtId="0" fontId="39" fillId="0" borderId="0" xfId="0" applyFont="1"/>
    <xf numFmtId="166" fontId="39" fillId="7" borderId="0" xfId="0" applyNumberFormat="1" applyFont="1" applyFill="1"/>
    <xf numFmtId="166" fontId="40" fillId="25" borderId="16" xfId="0" applyNumberFormat="1" applyFont="1" applyFill="1" applyBorder="1"/>
    <xf numFmtId="166" fontId="40" fillId="25" borderId="2" xfId="0" applyNumberFormat="1" applyFont="1" applyFill="1" applyBorder="1"/>
    <xf numFmtId="166" fontId="40" fillId="0" borderId="0" xfId="0" applyNumberFormat="1" applyFont="1"/>
    <xf numFmtId="166" fontId="39" fillId="0" borderId="0" xfId="0" applyNumberFormat="1" applyFont="1"/>
    <xf numFmtId="166" fontId="7" fillId="17" borderId="4" xfId="2" applyNumberFormat="1" applyFont="1" applyFill="1" applyBorder="1"/>
    <xf numFmtId="166" fontId="7" fillId="17" borderId="1" xfId="2" applyNumberFormat="1" applyFont="1" applyFill="1" applyBorder="1"/>
    <xf numFmtId="0" fontId="7" fillId="27" borderId="0" xfId="0" applyFont="1" applyFill="1"/>
    <xf numFmtId="0" fontId="41" fillId="0" borderId="0" xfId="0" applyFont="1"/>
    <xf numFmtId="0" fontId="12" fillId="0" borderId="0" xfId="3" applyFont="1" applyAlignment="1">
      <alignment horizontal="left" indent="1"/>
    </xf>
    <xf numFmtId="0" fontId="13" fillId="3" borderId="0" xfId="0" applyFont="1" applyFill="1" applyAlignment="1">
      <alignment shrinkToFit="1"/>
    </xf>
    <xf numFmtId="0" fontId="13" fillId="0" borderId="0" xfId="0" applyFont="1" applyAlignment="1">
      <alignment shrinkToFit="1"/>
    </xf>
    <xf numFmtId="43" fontId="7" fillId="0" borderId="0" xfId="1" applyFont="1"/>
    <xf numFmtId="0" fontId="7" fillId="0" borderId="3" xfId="0" applyFont="1" applyBorder="1"/>
    <xf numFmtId="44" fontId="7" fillId="0" borderId="3" xfId="0" applyNumberFormat="1" applyFont="1" applyBorder="1"/>
    <xf numFmtId="0" fontId="7" fillId="0" borderId="3" xfId="0" applyFont="1" applyBorder="1" applyAlignment="1">
      <alignment horizontal="left" indent="1"/>
    </xf>
    <xf numFmtId="0" fontId="13" fillId="0" borderId="9" xfId="0" applyFont="1" applyBorder="1"/>
    <xf numFmtId="44" fontId="13" fillId="0" borderId="9" xfId="0" applyNumberFormat="1" applyFont="1" applyBorder="1"/>
    <xf numFmtId="0" fontId="42" fillId="0" borderId="0" xfId="0" applyFont="1"/>
    <xf numFmtId="0" fontId="42" fillId="0" borderId="0" xfId="0" applyFont="1" applyAlignment="1">
      <alignment horizontal="left"/>
    </xf>
    <xf numFmtId="9" fontId="39" fillId="0" borderId="0" xfId="0" applyNumberFormat="1" applyFont="1"/>
    <xf numFmtId="166" fontId="7" fillId="11" borderId="1" xfId="2" applyNumberFormat="1" applyFont="1" applyFill="1" applyBorder="1"/>
    <xf numFmtId="166" fontId="13" fillId="0" borderId="2" xfId="2" applyNumberFormat="1" applyFont="1" applyFill="1" applyBorder="1"/>
    <xf numFmtId="0" fontId="10" fillId="5" borderId="23" xfId="0" applyFont="1" applyFill="1" applyBorder="1" applyAlignment="1">
      <alignment horizontal="center"/>
    </xf>
    <xf numFmtId="164" fontId="7" fillId="0" borderId="24" xfId="2" applyNumberFormat="1" applyFont="1" applyBorder="1"/>
    <xf numFmtId="164" fontId="13" fillId="0" borderId="24" xfId="2" applyNumberFormat="1" applyFont="1" applyBorder="1"/>
    <xf numFmtId="164" fontId="10" fillId="5" borderId="24" xfId="2" applyNumberFormat="1" applyFont="1" applyFill="1" applyBorder="1"/>
    <xf numFmtId="165" fontId="7" fillId="0" borderId="24" xfId="1" applyNumberFormat="1" applyFont="1" applyBorder="1"/>
    <xf numFmtId="164" fontId="13" fillId="0" borderId="25" xfId="2" applyNumberFormat="1" applyFont="1" applyBorder="1"/>
    <xf numFmtId="43" fontId="12" fillId="0" borderId="0" xfId="1" applyFont="1"/>
    <xf numFmtId="165" fontId="12" fillId="0" borderId="0" xfId="1" applyNumberFormat="1" applyFont="1"/>
    <xf numFmtId="166" fontId="12" fillId="0" borderId="10" xfId="2" applyNumberFormat="1" applyFont="1" applyBorder="1"/>
    <xf numFmtId="44" fontId="12" fillId="0" borderId="9" xfId="2" applyFont="1" applyBorder="1"/>
    <xf numFmtId="44" fontId="12" fillId="0" borderId="14" xfId="2" applyFont="1" applyBorder="1"/>
    <xf numFmtId="44" fontId="12" fillId="0" borderId="13" xfId="2" applyFont="1" applyBorder="1"/>
    <xf numFmtId="44" fontId="17" fillId="25" borderId="15" xfId="2" applyFont="1" applyFill="1" applyBorder="1" applyAlignment="1">
      <alignment horizontal="right"/>
    </xf>
    <xf numFmtId="44" fontId="17" fillId="25" borderId="8" xfId="2" applyFont="1" applyFill="1" applyBorder="1" applyAlignment="1">
      <alignment horizontal="right"/>
    </xf>
    <xf numFmtId="173" fontId="20" fillId="0" borderId="0" xfId="1" applyNumberFormat="1" applyFont="1" applyFill="1" applyBorder="1" applyAlignment="1">
      <alignment horizontal="center"/>
    </xf>
    <xf numFmtId="166" fontId="12" fillId="0" borderId="17" xfId="2" applyNumberFormat="1" applyFont="1" applyFill="1" applyBorder="1" applyAlignment="1">
      <alignment horizontal="right"/>
    </xf>
    <xf numFmtId="166" fontId="17" fillId="0" borderId="18" xfId="2" applyNumberFormat="1" applyFont="1" applyFill="1" applyBorder="1" applyAlignment="1">
      <alignment horizontal="right"/>
    </xf>
    <xf numFmtId="166" fontId="17" fillId="0" borderId="1" xfId="2" applyNumberFormat="1" applyFont="1" applyFill="1" applyBorder="1" applyAlignment="1">
      <alignment horizontal="right"/>
    </xf>
    <xf numFmtId="166" fontId="12" fillId="0" borderId="18" xfId="2" applyNumberFormat="1" applyFont="1" applyFill="1" applyBorder="1" applyAlignment="1">
      <alignment horizontal="right"/>
    </xf>
    <xf numFmtId="166" fontId="12" fillId="0" borderId="1" xfId="2" applyNumberFormat="1" applyFont="1" applyFill="1" applyBorder="1" applyAlignment="1">
      <alignment horizontal="right"/>
    </xf>
    <xf numFmtId="166" fontId="17" fillId="25" borderId="18" xfId="2" applyNumberFormat="1" applyFont="1" applyFill="1" applyBorder="1" applyAlignment="1">
      <alignment horizontal="right"/>
    </xf>
    <xf numFmtId="166" fontId="17" fillId="25" borderId="1" xfId="2" applyNumberFormat="1" applyFont="1" applyFill="1" applyBorder="1" applyAlignment="1">
      <alignment horizontal="right"/>
    </xf>
    <xf numFmtId="3" fontId="33" fillId="0" borderId="1" xfId="2" applyNumberFormat="1" applyFont="1" applyFill="1" applyBorder="1" applyAlignment="1">
      <alignment horizontal="right"/>
    </xf>
    <xf numFmtId="3" fontId="17" fillId="0" borderId="1" xfId="2" applyNumberFormat="1" applyFont="1" applyFill="1" applyBorder="1" applyAlignment="1">
      <alignment horizontal="right"/>
    </xf>
    <xf numFmtId="3" fontId="22" fillId="0" borderId="1" xfId="2" applyNumberFormat="1" applyFont="1" applyFill="1" applyBorder="1" applyAlignment="1">
      <alignment horizontal="right"/>
    </xf>
    <xf numFmtId="3" fontId="12" fillId="0" borderId="1" xfId="2" applyNumberFormat="1" applyFont="1" applyFill="1" applyBorder="1" applyAlignment="1">
      <alignment horizontal="right"/>
    </xf>
    <xf numFmtId="166" fontId="17" fillId="0" borderId="17" xfId="2" applyNumberFormat="1" applyFont="1" applyFill="1" applyBorder="1" applyAlignment="1">
      <alignment horizontal="right"/>
    </xf>
    <xf numFmtId="3" fontId="22" fillId="0" borderId="0" xfId="2" applyNumberFormat="1" applyFont="1" applyFill="1" applyBorder="1" applyAlignment="1">
      <alignment horizontal="right"/>
    </xf>
    <xf numFmtId="166" fontId="17" fillId="0" borderId="0" xfId="2" applyNumberFormat="1" applyFont="1" applyFill="1" applyBorder="1" applyAlignment="1">
      <alignment horizontal="right"/>
    </xf>
    <xf numFmtId="3" fontId="12" fillId="0" borderId="0" xfId="2" applyNumberFormat="1" applyFont="1" applyFill="1" applyBorder="1" applyAlignment="1">
      <alignment horizontal="right"/>
    </xf>
    <xf numFmtId="165" fontId="17" fillId="0" borderId="18" xfId="1" applyNumberFormat="1" applyFont="1" applyFill="1" applyBorder="1" applyAlignment="1">
      <alignment horizontal="right"/>
    </xf>
    <xf numFmtId="165" fontId="22" fillId="0" borderId="1" xfId="1" applyNumberFormat="1" applyFont="1" applyFill="1" applyBorder="1" applyAlignment="1">
      <alignment horizontal="right"/>
    </xf>
    <xf numFmtId="165" fontId="17" fillId="0" borderId="1" xfId="1" applyNumberFormat="1" applyFont="1" applyFill="1" applyBorder="1" applyAlignment="1">
      <alignment horizontal="right"/>
    </xf>
    <xf numFmtId="165" fontId="12" fillId="0" borderId="1" xfId="1" applyNumberFormat="1" applyFont="1" applyFill="1" applyBorder="1" applyAlignment="1">
      <alignment horizontal="right"/>
    </xf>
    <xf numFmtId="165" fontId="17" fillId="25" borderId="18" xfId="1" applyNumberFormat="1" applyFont="1" applyFill="1" applyBorder="1" applyAlignment="1">
      <alignment horizontal="right"/>
    </xf>
    <xf numFmtId="165" fontId="17" fillId="25" borderId="1" xfId="1" applyNumberFormat="1" applyFont="1" applyFill="1" applyBorder="1" applyAlignment="1">
      <alignment horizontal="right"/>
    </xf>
    <xf numFmtId="44" fontId="12" fillId="0" borderId="18" xfId="2" applyFont="1" applyFill="1" applyBorder="1" applyAlignment="1">
      <alignment horizontal="right"/>
    </xf>
    <xf numFmtId="44" fontId="19" fillId="0" borderId="1" xfId="2" applyFont="1" applyFill="1" applyBorder="1" applyAlignment="1">
      <alignment horizontal="right"/>
    </xf>
    <xf numFmtId="44" fontId="12" fillId="0" borderId="1" xfId="2" applyFont="1" applyFill="1" applyBorder="1" applyAlignment="1">
      <alignment horizontal="right"/>
    </xf>
    <xf numFmtId="44" fontId="37" fillId="0" borderId="18" xfId="2" applyFont="1" applyFill="1" applyBorder="1" applyAlignment="1">
      <alignment horizontal="right"/>
    </xf>
    <xf numFmtId="44" fontId="37" fillId="0" borderId="1" xfId="2" applyFont="1" applyFill="1" applyBorder="1" applyAlignment="1">
      <alignment horizontal="right"/>
    </xf>
    <xf numFmtId="44" fontId="38" fillId="0" borderId="18" xfId="2" applyFont="1" applyFill="1" applyBorder="1" applyAlignment="1">
      <alignment horizontal="right"/>
    </xf>
    <xf numFmtId="44" fontId="38" fillId="0" borderId="1" xfId="2" applyFont="1" applyFill="1" applyBorder="1" applyAlignment="1">
      <alignment horizontal="right"/>
    </xf>
    <xf numFmtId="44" fontId="22" fillId="0" borderId="1" xfId="2" applyFont="1" applyFill="1" applyBorder="1" applyAlignment="1">
      <alignment horizontal="right"/>
    </xf>
    <xf numFmtId="44" fontId="17" fillId="0" borderId="18" xfId="2" applyFont="1" applyFill="1" applyBorder="1" applyAlignment="1">
      <alignment horizontal="right"/>
    </xf>
    <xf numFmtId="44" fontId="17" fillId="0" borderId="1" xfId="2" applyFont="1" applyFill="1" applyBorder="1" applyAlignment="1">
      <alignment horizontal="right"/>
    </xf>
    <xf numFmtId="166" fontId="17" fillId="0" borderId="20" xfId="2" applyNumberFormat="1" applyFont="1" applyFill="1" applyBorder="1" applyAlignment="1">
      <alignment horizontal="right"/>
    </xf>
    <xf numFmtId="166" fontId="17" fillId="0" borderId="5" xfId="2" applyNumberFormat="1" applyFont="1" applyFill="1" applyBorder="1" applyAlignment="1">
      <alignment horizontal="right"/>
    </xf>
    <xf numFmtId="166" fontId="17" fillId="25" borderId="10" xfId="2" applyNumberFormat="1" applyFont="1" applyFill="1" applyBorder="1" applyAlignment="1">
      <alignment horizontal="right"/>
    </xf>
    <xf numFmtId="166" fontId="17" fillId="25" borderId="9" xfId="2" applyNumberFormat="1" applyFont="1" applyFill="1" applyBorder="1" applyAlignment="1">
      <alignment horizontal="right"/>
    </xf>
    <xf numFmtId="166" fontId="12" fillId="0" borderId="1" xfId="2" quotePrefix="1" applyNumberFormat="1" applyFont="1" applyFill="1" applyBorder="1" applyAlignment="1">
      <alignment horizontal="right"/>
    </xf>
    <xf numFmtId="166" fontId="17" fillId="25" borderId="16" xfId="2" applyNumberFormat="1" applyFont="1" applyFill="1" applyBorder="1" applyAlignment="1">
      <alignment horizontal="right"/>
    </xf>
    <xf numFmtId="166" fontId="17" fillId="25" borderId="2" xfId="2" applyNumberFormat="1" applyFont="1" applyFill="1" applyBorder="1" applyAlignment="1">
      <alignment horizontal="right"/>
    </xf>
    <xf numFmtId="166" fontId="12" fillId="0" borderId="19" xfId="2" applyNumberFormat="1" applyFont="1" applyFill="1" applyBorder="1" applyAlignment="1">
      <alignment horizontal="right"/>
    </xf>
    <xf numFmtId="166" fontId="12" fillId="0" borderId="4" xfId="2" applyNumberFormat="1" applyFont="1" applyFill="1" applyBorder="1" applyAlignment="1">
      <alignment horizontal="right"/>
    </xf>
    <xf numFmtId="166" fontId="17" fillId="26" borderId="16" xfId="2" applyNumberFormat="1" applyFont="1" applyFill="1" applyBorder="1" applyAlignment="1">
      <alignment horizontal="right"/>
    </xf>
    <xf numFmtId="166" fontId="17" fillId="26" borderId="2" xfId="2" applyNumberFormat="1" applyFont="1" applyFill="1" applyBorder="1" applyAlignment="1">
      <alignment horizontal="right"/>
    </xf>
    <xf numFmtId="166" fontId="12" fillId="0" borderId="20" xfId="2" applyNumberFormat="1" applyFont="1" applyFill="1" applyBorder="1"/>
    <xf numFmtId="166" fontId="12" fillId="0" borderId="5" xfId="2" applyNumberFormat="1" applyFont="1" applyFill="1" applyBorder="1"/>
    <xf numFmtId="166" fontId="17" fillId="25" borderId="15" xfId="2" applyNumberFormat="1" applyFont="1" applyFill="1" applyBorder="1"/>
    <xf numFmtId="166" fontId="17" fillId="25" borderId="8" xfId="2" applyNumberFormat="1" applyFont="1" applyFill="1" applyBorder="1"/>
    <xf numFmtId="166" fontId="12" fillId="0" borderId="17" xfId="2" applyNumberFormat="1" applyFont="1" applyFill="1" applyBorder="1"/>
    <xf numFmtId="166" fontId="12" fillId="0" borderId="0" xfId="2" applyNumberFormat="1" applyFont="1" applyFill="1" applyBorder="1"/>
    <xf numFmtId="166" fontId="17" fillId="37" borderId="10" xfId="2" applyNumberFormat="1" applyFont="1" applyFill="1" applyBorder="1"/>
    <xf numFmtId="166" fontId="17" fillId="37" borderId="9" xfId="2" applyNumberFormat="1" applyFont="1" applyFill="1" applyBorder="1"/>
    <xf numFmtId="166" fontId="17" fillId="37" borderId="15" xfId="2" applyNumberFormat="1" applyFont="1" applyFill="1" applyBorder="1"/>
    <xf numFmtId="166" fontId="17" fillId="37" borderId="8" xfId="2" applyNumberFormat="1" applyFont="1" applyFill="1" applyBorder="1"/>
    <xf numFmtId="166" fontId="17" fillId="0" borderId="17" xfId="2" applyNumberFormat="1" applyFont="1" applyFill="1" applyBorder="1"/>
    <xf numFmtId="166" fontId="17" fillId="0" borderId="0" xfId="2" applyNumberFormat="1" applyFont="1" applyFill="1" applyBorder="1"/>
    <xf numFmtId="165" fontId="12" fillId="0" borderId="17" xfId="1" applyNumberFormat="1" applyFont="1" applyFill="1" applyBorder="1"/>
    <xf numFmtId="165" fontId="12" fillId="0" borderId="0" xfId="1" applyNumberFormat="1" applyFont="1" applyFill="1" applyBorder="1"/>
    <xf numFmtId="166" fontId="17" fillId="38" borderId="16" xfId="2" applyNumberFormat="1" applyFont="1" applyFill="1" applyBorder="1"/>
    <xf numFmtId="166" fontId="17" fillId="38" borderId="2" xfId="2" applyNumberFormat="1" applyFont="1" applyFill="1" applyBorder="1"/>
    <xf numFmtId="166" fontId="25" fillId="0" borderId="17" xfId="2" applyNumberFormat="1" applyFont="1" applyBorder="1"/>
    <xf numFmtId="166" fontId="26" fillId="0" borderId="0" xfId="2" applyNumberFormat="1" applyFont="1" applyFill="1" applyBorder="1" applyAlignment="1">
      <alignment horizontal="center"/>
    </xf>
    <xf numFmtId="166" fontId="25" fillId="0" borderId="0" xfId="2" applyNumberFormat="1" applyFont="1"/>
    <xf numFmtId="9" fontId="26" fillId="0" borderId="0" xfId="2" applyNumberFormat="1" applyFont="1" applyFill="1" applyBorder="1" applyAlignment="1">
      <alignment horizontal="right"/>
    </xf>
    <xf numFmtId="173" fontId="26" fillId="0" borderId="0" xfId="1" applyNumberFormat="1" applyFont="1" applyFill="1" applyBorder="1" applyAlignment="1">
      <alignment horizontal="center"/>
    </xf>
    <xf numFmtId="166" fontId="12" fillId="0" borderId="10" xfId="2" applyNumberFormat="1" applyFont="1" applyFill="1" applyBorder="1"/>
    <xf numFmtId="166" fontId="12" fillId="0" borderId="9" xfId="2" applyNumberFormat="1" applyFont="1" applyFill="1" applyBorder="1"/>
    <xf numFmtId="166" fontId="12" fillId="0" borderId="18" xfId="2" applyNumberFormat="1" applyFont="1" applyFill="1" applyBorder="1"/>
    <xf numFmtId="166" fontId="12" fillId="0" borderId="1" xfId="2" applyNumberFormat="1" applyFont="1" applyFill="1" applyBorder="1"/>
    <xf numFmtId="166" fontId="17" fillId="25" borderId="12" xfId="2" applyNumberFormat="1" applyFont="1" applyFill="1" applyBorder="1"/>
    <xf numFmtId="166" fontId="17" fillId="25" borderId="11" xfId="2" applyNumberFormat="1" applyFont="1" applyFill="1" applyBorder="1"/>
    <xf numFmtId="166" fontId="17" fillId="26" borderId="12" xfId="2" applyNumberFormat="1" applyFont="1" applyFill="1" applyBorder="1"/>
    <xf numFmtId="166" fontId="17" fillId="26" borderId="11" xfId="2" applyNumberFormat="1" applyFont="1" applyFill="1" applyBorder="1"/>
    <xf numFmtId="166" fontId="12" fillId="0" borderId="0" xfId="2" applyNumberFormat="1" applyFont="1"/>
    <xf numFmtId="165" fontId="40" fillId="0" borderId="1" xfId="1" applyNumberFormat="1" applyFont="1" applyBorder="1" applyAlignment="1">
      <alignment horizontal="left"/>
    </xf>
    <xf numFmtId="166" fontId="39" fillId="0" borderId="18" xfId="2" applyNumberFormat="1" applyFont="1" applyBorder="1"/>
    <xf numFmtId="166" fontId="39" fillId="0" borderId="1" xfId="2" applyNumberFormat="1" applyFont="1" applyBorder="1"/>
    <xf numFmtId="165" fontId="40" fillId="25" borderId="2" xfId="1" applyNumberFormat="1" applyFont="1" applyFill="1" applyBorder="1" applyAlignment="1">
      <alignment horizontal="left"/>
    </xf>
    <xf numFmtId="165" fontId="40" fillId="0" borderId="5" xfId="1" applyNumberFormat="1" applyFont="1" applyBorder="1" applyAlignment="1">
      <alignment horizontal="left"/>
    </xf>
    <xf numFmtId="166" fontId="39" fillId="0" borderId="5" xfId="2" quotePrefix="1" applyNumberFormat="1" applyFont="1" applyBorder="1"/>
    <xf numFmtId="166" fontId="39" fillId="0" borderId="18" xfId="2" quotePrefix="1" applyNumberFormat="1" applyFont="1" applyBorder="1"/>
    <xf numFmtId="166" fontId="39" fillId="0" borderId="1" xfId="2" quotePrefix="1" applyNumberFormat="1" applyFont="1" applyBorder="1"/>
    <xf numFmtId="166" fontId="39" fillId="0" borderId="5" xfId="2" applyNumberFormat="1" applyFont="1" applyBorder="1"/>
    <xf numFmtId="165" fontId="40" fillId="0" borderId="9" xfId="1" applyNumberFormat="1" applyFont="1" applyBorder="1" applyAlignment="1">
      <alignment horizontal="left"/>
    </xf>
    <xf numFmtId="166" fontId="39" fillId="0" borderId="10" xfId="2" quotePrefix="1" applyNumberFormat="1" applyFont="1" applyBorder="1"/>
    <xf numFmtId="166" fontId="39" fillId="0" borderId="9" xfId="2" quotePrefix="1" applyNumberFormat="1" applyFont="1" applyBorder="1"/>
    <xf numFmtId="0" fontId="0" fillId="0" borderId="0" xfId="0" quotePrefix="1"/>
    <xf numFmtId="165" fontId="0" fillId="0" borderId="0" xfId="1" applyNumberFormat="1" applyFont="1"/>
    <xf numFmtId="166" fontId="0" fillId="0" borderId="0" xfId="0" applyNumberFormat="1"/>
    <xf numFmtId="166" fontId="0" fillId="0" borderId="0" xfId="2" applyNumberFormat="1" applyFont="1"/>
    <xf numFmtId="165" fontId="0" fillId="0" borderId="0" xfId="0" applyNumberFormat="1"/>
    <xf numFmtId="0" fontId="17" fillId="26" borderId="2" xfId="0" applyFont="1" applyFill="1" applyBorder="1"/>
    <xf numFmtId="166" fontId="17" fillId="26" borderId="16" xfId="2" applyNumberFormat="1" applyFont="1" applyFill="1" applyBorder="1"/>
    <xf numFmtId="166" fontId="17" fillId="26" borderId="2" xfId="2" applyNumberFormat="1" applyFont="1" applyFill="1" applyBorder="1"/>
    <xf numFmtId="9" fontId="12" fillId="0" borderId="0" xfId="0" applyNumberFormat="1" applyFont="1"/>
    <xf numFmtId="0" fontId="43" fillId="2" borderId="0" xfId="0" applyFont="1" applyFill="1" applyAlignment="1">
      <alignment horizontal="centerContinuous"/>
    </xf>
    <xf numFmtId="167" fontId="17" fillId="0" borderId="0" xfId="3" applyNumberFormat="1" applyFont="1" applyAlignment="1">
      <alignment horizontal="right" indent="1"/>
    </xf>
    <xf numFmtId="0" fontId="13" fillId="0" borderId="0" xfId="0" applyFont="1" applyAlignment="1">
      <alignment horizontal="right"/>
    </xf>
    <xf numFmtId="166" fontId="17" fillId="0" borderId="0" xfId="2" applyNumberFormat="1" applyFont="1" applyFill="1" applyBorder="1" applyAlignment="1">
      <alignment horizontal="right" shrinkToFit="1"/>
    </xf>
    <xf numFmtId="0" fontId="17" fillId="0" borderId="0" xfId="0" applyFont="1" applyAlignment="1">
      <alignment horizontal="right" indent="1"/>
    </xf>
    <xf numFmtId="170" fontId="17" fillId="0" borderId="0" xfId="3" applyNumberFormat="1" applyFont="1" applyAlignment="1">
      <alignment horizontal="right"/>
    </xf>
    <xf numFmtId="173" fontId="17" fillId="0" borderId="0" xfId="1" applyNumberFormat="1" applyFont="1" applyFill="1" applyBorder="1" applyAlignment="1">
      <alignment horizontal="right"/>
    </xf>
    <xf numFmtId="9" fontId="17" fillId="0" borderId="0" xfId="1" applyNumberFormat="1" applyFont="1" applyFill="1" applyBorder="1" applyAlignment="1">
      <alignment horizontal="right"/>
    </xf>
    <xf numFmtId="0" fontId="12" fillId="39" borderId="0" xfId="0" applyFont="1" applyFill="1"/>
    <xf numFmtId="0" fontId="12" fillId="40" borderId="0" xfId="0" applyFont="1" applyFill="1"/>
    <xf numFmtId="0" fontId="17" fillId="39" borderId="0" xfId="0" applyFont="1" applyFill="1"/>
    <xf numFmtId="3" fontId="12" fillId="0" borderId="18" xfId="2" applyNumberFormat="1" applyFont="1" applyFill="1" applyBorder="1" applyAlignment="1">
      <alignment horizontal="right"/>
    </xf>
    <xf numFmtId="3" fontId="12" fillId="0" borderId="17" xfId="2" applyNumberFormat="1" applyFont="1" applyFill="1" applyBorder="1" applyAlignment="1">
      <alignment horizontal="right"/>
    </xf>
    <xf numFmtId="165" fontId="12" fillId="0" borderId="18" xfId="1" applyNumberFormat="1" applyFont="1" applyFill="1" applyBorder="1" applyAlignment="1">
      <alignment horizontal="right"/>
    </xf>
    <xf numFmtId="0" fontId="12" fillId="30" borderId="0" xfId="0" applyFont="1" applyFill="1"/>
    <xf numFmtId="0" fontId="17" fillId="30" borderId="0" xfId="0" applyFont="1" applyFill="1"/>
    <xf numFmtId="44" fontId="22" fillId="0" borderId="18" xfId="2" applyFont="1" applyFill="1" applyBorder="1" applyAlignment="1">
      <alignment horizontal="right"/>
    </xf>
    <xf numFmtId="0" fontId="17" fillId="40" borderId="0" xfId="0" applyFont="1" applyFill="1"/>
    <xf numFmtId="44" fontId="33" fillId="0" borderId="18" xfId="0" applyNumberFormat="1" applyFont="1" applyBorder="1"/>
    <xf numFmtId="8" fontId="39" fillId="0" borderId="0" xfId="0" applyNumberFormat="1" applyFont="1"/>
    <xf numFmtId="0" fontId="40" fillId="0" borderId="0" xfId="1" applyNumberFormat="1" applyFont="1" applyBorder="1" applyAlignment="1">
      <alignment horizontal="center"/>
    </xf>
    <xf numFmtId="166" fontId="39" fillId="0" borderId="0" xfId="2" applyNumberFormat="1" applyFont="1" applyBorder="1"/>
    <xf numFmtId="166" fontId="39" fillId="0" borderId="0" xfId="2" quotePrefix="1" applyNumberFormat="1" applyFont="1" applyBorder="1"/>
    <xf numFmtId="166" fontId="39" fillId="0" borderId="0" xfId="2" applyNumberFormat="1" applyFont="1"/>
    <xf numFmtId="165" fontId="40" fillId="0" borderId="13" xfId="1" applyNumberFormat="1" applyFont="1" applyBorder="1" applyAlignment="1">
      <alignment horizontal="left"/>
    </xf>
    <xf numFmtId="166" fontId="39" fillId="0" borderId="14" xfId="2" applyNumberFormat="1" applyFont="1" applyBorder="1"/>
    <xf numFmtId="166" fontId="39" fillId="0" borderId="13" xfId="2" applyNumberFormat="1" applyFont="1" applyBorder="1"/>
    <xf numFmtId="166" fontId="39" fillId="7" borderId="0" xfId="2" applyNumberFormat="1" applyFont="1" applyFill="1"/>
    <xf numFmtId="0" fontId="17" fillId="41" borderId="1" xfId="0" applyFont="1" applyFill="1" applyBorder="1" applyAlignment="1">
      <alignment horizontal="left"/>
    </xf>
    <xf numFmtId="166" fontId="10" fillId="41" borderId="1" xfId="2" applyNumberFormat="1" applyFont="1" applyFill="1" applyBorder="1"/>
    <xf numFmtId="0" fontId="10" fillId="22" borderId="1" xfId="0" applyFont="1" applyFill="1" applyBorder="1" applyAlignment="1">
      <alignment horizontal="left"/>
    </xf>
    <xf numFmtId="166" fontId="10" fillId="22" borderId="1" xfId="2" applyNumberFormat="1" applyFont="1" applyFill="1" applyBorder="1"/>
    <xf numFmtId="0" fontId="17" fillId="21" borderId="1" xfId="0" applyFont="1" applyFill="1" applyBorder="1" applyAlignment="1">
      <alignment horizontal="left"/>
    </xf>
    <xf numFmtId="166" fontId="10" fillId="21" borderId="1" xfId="2" applyNumberFormat="1" applyFont="1" applyFill="1" applyBorder="1"/>
    <xf numFmtId="0" fontId="7" fillId="13" borderId="1" xfId="0" applyFont="1" applyFill="1" applyBorder="1" applyAlignment="1">
      <alignment horizontal="left" indent="2"/>
    </xf>
    <xf numFmtId="166" fontId="7" fillId="13" borderId="1" xfId="2" applyNumberFormat="1" applyFont="1" applyFill="1" applyBorder="1"/>
    <xf numFmtId="0" fontId="10" fillId="42" borderId="0" xfId="0" applyFont="1" applyFill="1"/>
    <xf numFmtId="0" fontId="10" fillId="42" borderId="0" xfId="0" applyFont="1" applyFill="1" applyAlignment="1">
      <alignment horizontal="center"/>
    </xf>
    <xf numFmtId="166" fontId="17" fillId="41" borderId="1" xfId="2" applyNumberFormat="1" applyFont="1" applyFill="1" applyBorder="1"/>
    <xf numFmtId="0" fontId="10" fillId="42" borderId="2" xfId="0" applyFont="1" applyFill="1" applyBorder="1"/>
    <xf numFmtId="166" fontId="10" fillId="42" borderId="2" xfId="2" applyNumberFormat="1" applyFont="1" applyFill="1" applyBorder="1"/>
    <xf numFmtId="0" fontId="10" fillId="5" borderId="1" xfId="0" applyFont="1" applyFill="1" applyBorder="1" applyAlignment="1">
      <alignment horizontal="left"/>
    </xf>
    <xf numFmtId="166" fontId="10" fillId="5" borderId="1" xfId="2" applyNumberFormat="1" applyFont="1" applyFill="1" applyBorder="1"/>
    <xf numFmtId="0" fontId="10" fillId="42" borderId="0" xfId="0" applyFont="1" applyFill="1" applyAlignment="1">
      <alignment horizontal="centerContinuous"/>
    </xf>
    <xf numFmtId="0" fontId="7" fillId="42" borderId="0" xfId="0" applyFont="1" applyFill="1" applyAlignment="1">
      <alignment horizontal="centerContinuous"/>
    </xf>
    <xf numFmtId="0" fontId="10" fillId="43" borderId="0" xfId="0" applyFont="1" applyFill="1"/>
    <xf numFmtId="0" fontId="10" fillId="43" borderId="0" xfId="0" applyFont="1" applyFill="1" applyAlignment="1">
      <alignment horizontal="center"/>
    </xf>
    <xf numFmtId="0" fontId="10" fillId="6" borderId="1" xfId="0" applyFont="1" applyFill="1" applyBorder="1" applyAlignment="1">
      <alignment horizontal="left"/>
    </xf>
    <xf numFmtId="165" fontId="10" fillId="6" borderId="1" xfId="1" applyNumberFormat="1" applyFont="1" applyFill="1" applyBorder="1"/>
    <xf numFmtId="0" fontId="7" fillId="24" borderId="0" xfId="0" applyFont="1" applyFill="1"/>
    <xf numFmtId="166" fontId="12" fillId="0" borderId="1" xfId="2" applyNumberFormat="1" applyFont="1" applyBorder="1"/>
    <xf numFmtId="0" fontId="10" fillId="6" borderId="0" xfId="0" applyFont="1" applyFill="1" applyAlignment="1">
      <alignment horizontal="left"/>
    </xf>
    <xf numFmtId="166" fontId="7" fillId="0" borderId="0" xfId="2" applyNumberFormat="1" applyFont="1" applyFill="1" applyBorder="1"/>
    <xf numFmtId="9" fontId="7" fillId="0" borderId="0" xfId="2" applyNumberFormat="1" applyFont="1" applyFill="1" applyBorder="1"/>
    <xf numFmtId="0" fontId="7" fillId="0" borderId="13" xfId="0" applyFont="1" applyBorder="1" applyAlignment="1">
      <alignment horizontal="left" indent="1"/>
    </xf>
    <xf numFmtId="166" fontId="7" fillId="0" borderId="13" xfId="2" applyNumberFormat="1" applyFont="1" applyFill="1" applyBorder="1"/>
    <xf numFmtId="166" fontId="7" fillId="0" borderId="13" xfId="2" applyNumberFormat="1" applyFont="1" applyBorder="1"/>
    <xf numFmtId="9" fontId="13" fillId="0" borderId="2" xfId="2" applyNumberFormat="1" applyFont="1" applyBorder="1"/>
    <xf numFmtId="0" fontId="7" fillId="22" borderId="0" xfId="0" applyFont="1" applyFill="1"/>
    <xf numFmtId="9" fontId="7" fillId="7" borderId="0" xfId="0" applyNumberFormat="1" applyFont="1" applyFill="1"/>
    <xf numFmtId="165" fontId="7" fillId="0" borderId="1" xfId="1" applyNumberFormat="1" applyFont="1" applyFill="1" applyBorder="1"/>
    <xf numFmtId="0" fontId="10" fillId="5" borderId="5" xfId="0" applyFont="1" applyFill="1" applyBorder="1" applyAlignment="1">
      <alignment horizontal="left"/>
    </xf>
    <xf numFmtId="165" fontId="10" fillId="5" borderId="5" xfId="1" applyNumberFormat="1" applyFont="1" applyFill="1" applyBorder="1"/>
    <xf numFmtId="166" fontId="10" fillId="5" borderId="5" xfId="2" applyNumberFormat="1" applyFont="1" applyFill="1" applyBorder="1"/>
    <xf numFmtId="0" fontId="13" fillId="44" borderId="1" xfId="0" applyFont="1" applyFill="1" applyBorder="1"/>
    <xf numFmtId="0" fontId="7" fillId="11" borderId="1" xfId="0" applyFont="1" applyFill="1" applyBorder="1"/>
    <xf numFmtId="9" fontId="7" fillId="11" borderId="1" xfId="1" applyNumberFormat="1" applyFont="1" applyFill="1" applyBorder="1"/>
    <xf numFmtId="165" fontId="7" fillId="11" borderId="1" xfId="1" applyNumberFormat="1" applyFont="1" applyFill="1" applyBorder="1"/>
    <xf numFmtId="0" fontId="13" fillId="11" borderId="1" xfId="0" applyFont="1" applyFill="1" applyBorder="1"/>
    <xf numFmtId="166" fontId="13" fillId="11" borderId="1" xfId="2" applyNumberFormat="1" applyFont="1" applyFill="1" applyBorder="1"/>
    <xf numFmtId="9" fontId="13" fillId="11" borderId="1" xfId="1" applyNumberFormat="1" applyFont="1" applyFill="1" applyBorder="1"/>
    <xf numFmtId="165" fontId="13" fillId="11" borderId="1" xfId="1" applyNumberFormat="1" applyFont="1" applyFill="1" applyBorder="1"/>
    <xf numFmtId="9" fontId="7" fillId="11" borderId="1" xfId="2" applyNumberFormat="1" applyFont="1" applyFill="1" applyBorder="1"/>
    <xf numFmtId="0" fontId="17" fillId="41" borderId="1" xfId="0" applyFont="1" applyFill="1" applyBorder="1"/>
    <xf numFmtId="166" fontId="17" fillId="41" borderId="1" xfId="0" applyNumberFormat="1" applyFont="1" applyFill="1" applyBorder="1"/>
    <xf numFmtId="9" fontId="17" fillId="41" borderId="1" xfId="0" applyNumberFormat="1" applyFont="1" applyFill="1" applyBorder="1"/>
    <xf numFmtId="0" fontId="17" fillId="21" borderId="1" xfId="0" applyFont="1" applyFill="1" applyBorder="1"/>
    <xf numFmtId="166" fontId="17" fillId="21" borderId="1" xfId="0" applyNumberFormat="1" applyFont="1" applyFill="1" applyBorder="1"/>
    <xf numFmtId="9" fontId="17" fillId="21" borderId="1" xfId="0" applyNumberFormat="1" applyFont="1" applyFill="1" applyBorder="1"/>
    <xf numFmtId="0" fontId="13" fillId="45" borderId="1" xfId="0" applyFont="1" applyFill="1" applyBorder="1"/>
    <xf numFmtId="166" fontId="13" fillId="45" borderId="1" xfId="2" applyNumberFormat="1" applyFont="1" applyFill="1" applyBorder="1"/>
    <xf numFmtId="9" fontId="13" fillId="45" borderId="1" xfId="2" applyNumberFormat="1" applyFont="1" applyFill="1" applyBorder="1"/>
    <xf numFmtId="0" fontId="40" fillId="21" borderId="1" xfId="0" applyFont="1" applyFill="1" applyBorder="1"/>
    <xf numFmtId="166" fontId="40" fillId="21" borderId="1" xfId="2" applyNumberFormat="1" applyFont="1" applyFill="1" applyBorder="1"/>
    <xf numFmtId="165" fontId="7" fillId="0" borderId="0" xfId="1" applyNumberFormat="1" applyFont="1" applyFill="1" applyBorder="1"/>
    <xf numFmtId="0" fontId="13" fillId="16" borderId="1" xfId="0" applyFont="1" applyFill="1" applyBorder="1"/>
    <xf numFmtId="166" fontId="13" fillId="16" borderId="1" xfId="2" applyNumberFormat="1" applyFont="1" applyFill="1" applyBorder="1"/>
    <xf numFmtId="44" fontId="13" fillId="16" borderId="1" xfId="0" applyNumberFormat="1" applyFont="1" applyFill="1" applyBorder="1"/>
    <xf numFmtId="9" fontId="10" fillId="19" borderId="1" xfId="13" applyFont="1" applyFill="1" applyBorder="1"/>
    <xf numFmtId="9" fontId="7" fillId="13" borderId="1" xfId="2" applyNumberFormat="1" applyFont="1" applyFill="1" applyBorder="1"/>
    <xf numFmtId="0" fontId="7" fillId="0" borderId="11" xfId="0" applyFont="1" applyBorder="1" applyAlignment="1">
      <alignment horizontal="left" indent="1"/>
    </xf>
    <xf numFmtId="9" fontId="7" fillId="0" borderId="11" xfId="2" applyNumberFormat="1" applyFont="1" applyBorder="1"/>
    <xf numFmtId="0" fontId="13" fillId="3" borderId="1" xfId="0" applyFont="1" applyFill="1" applyBorder="1"/>
    <xf numFmtId="165" fontId="7" fillId="13" borderId="1" xfId="1" applyNumberFormat="1" applyFont="1" applyFill="1" applyBorder="1"/>
    <xf numFmtId="165" fontId="13" fillId="44" borderId="1" xfId="1" applyNumberFormat="1" applyFont="1" applyFill="1" applyBorder="1"/>
    <xf numFmtId="164" fontId="7" fillId="3" borderId="26" xfId="2" applyNumberFormat="1" applyFont="1" applyFill="1" applyBorder="1"/>
    <xf numFmtId="164" fontId="7" fillId="0" borderId="26" xfId="2" applyNumberFormat="1" applyFont="1" applyBorder="1"/>
    <xf numFmtId="164" fontId="7" fillId="15" borderId="26" xfId="2" applyNumberFormat="1" applyFont="1" applyFill="1" applyBorder="1"/>
    <xf numFmtId="165" fontId="7" fillId="7" borderId="26" xfId="1" applyNumberFormat="1" applyFont="1" applyFill="1" applyBorder="1"/>
    <xf numFmtId="165" fontId="7" fillId="0" borderId="26" xfId="1" applyNumberFormat="1" applyFont="1" applyBorder="1"/>
    <xf numFmtId="166" fontId="7" fillId="7" borderId="26" xfId="2" applyNumberFormat="1" applyFont="1" applyFill="1" applyBorder="1"/>
    <xf numFmtId="166" fontId="7" fillId="0" borderId="26" xfId="2" applyNumberFormat="1" applyFont="1" applyBorder="1"/>
    <xf numFmtId="44" fontId="7" fillId="0" borderId="0" xfId="2" applyFont="1"/>
    <xf numFmtId="170" fontId="45" fillId="47" borderId="27" xfId="15" applyNumberFormat="1"/>
    <xf numFmtId="10" fontId="7" fillId="0" borderId="0" xfId="0" applyNumberFormat="1" applyFont="1"/>
    <xf numFmtId="165" fontId="44" fillId="46" borderId="27" xfId="14" applyNumberFormat="1"/>
    <xf numFmtId="9" fontId="44" fillId="46" borderId="27" xfId="14" applyNumberFormat="1"/>
    <xf numFmtId="165" fontId="45" fillId="47" borderId="27" xfId="15" applyNumberFormat="1"/>
    <xf numFmtId="44" fontId="44" fillId="46" borderId="27" xfId="14" applyNumberFormat="1"/>
    <xf numFmtId="170" fontId="44" fillId="46" borderId="27" xfId="14" applyNumberFormat="1"/>
    <xf numFmtId="44" fontId="45" fillId="47" borderId="27" xfId="15" applyNumberFormat="1"/>
    <xf numFmtId="176" fontId="45" fillId="47" borderId="27" xfId="15" applyNumberFormat="1"/>
    <xf numFmtId="43" fontId="7" fillId="0" borderId="0" xfId="0" applyNumberFormat="1" applyFont="1"/>
    <xf numFmtId="166" fontId="17" fillId="41" borderId="1" xfId="2" applyNumberFormat="1" applyFont="1" applyFill="1" applyBorder="1" applyAlignment="1">
      <alignment horizontal="left"/>
    </xf>
    <xf numFmtId="0" fontId="34" fillId="0" borderId="0" xfId="0" applyFont="1" applyAlignment="1">
      <alignment horizontal="center"/>
    </xf>
    <xf numFmtId="0" fontId="0" fillId="0" borderId="1" xfId="0" applyBorder="1"/>
    <xf numFmtId="44" fontId="0" fillId="0" borderId="1" xfId="2" applyFont="1" applyBorder="1"/>
    <xf numFmtId="0" fontId="34" fillId="44" borderId="9" xfId="0" applyFont="1" applyFill="1" applyBorder="1"/>
    <xf numFmtId="0" fontId="0" fillId="44" borderId="9" xfId="0" applyFill="1" applyBorder="1"/>
    <xf numFmtId="165" fontId="0" fillId="44" borderId="9" xfId="1" applyNumberFormat="1" applyFont="1" applyFill="1" applyBorder="1"/>
    <xf numFmtId="0" fontId="0" fillId="44" borderId="1" xfId="0" applyFill="1" applyBorder="1"/>
    <xf numFmtId="44" fontId="0" fillId="44" borderId="1" xfId="2" applyFont="1" applyFill="1" applyBorder="1"/>
    <xf numFmtId="0" fontId="0" fillId="44" borderId="11" xfId="0" applyFill="1" applyBorder="1"/>
    <xf numFmtId="44" fontId="0" fillId="44" borderId="11" xfId="2" applyFont="1" applyFill="1" applyBorder="1"/>
    <xf numFmtId="0" fontId="13" fillId="7" borderId="0" xfId="0" applyFont="1" applyFill="1" applyAlignment="1">
      <alignment horizontal="centerContinuous"/>
    </xf>
    <xf numFmtId="0" fontId="13" fillId="0" borderId="0" xfId="1" applyNumberFormat="1" applyFont="1" applyAlignment="1">
      <alignment horizontal="center"/>
    </xf>
    <xf numFmtId="44" fontId="12" fillId="0" borderId="1" xfId="0" applyNumberFormat="1" applyFont="1" applyBorder="1"/>
    <xf numFmtId="9" fontId="17" fillId="41" borderId="1" xfId="0" applyNumberFormat="1" applyFont="1" applyFill="1" applyBorder="1" applyAlignment="1">
      <alignment horizontal="left"/>
    </xf>
    <xf numFmtId="0" fontId="10" fillId="35" borderId="1" xfId="0" applyFont="1" applyFill="1" applyBorder="1" applyAlignment="1">
      <alignment horizontal="left"/>
    </xf>
    <xf numFmtId="166" fontId="10" fillId="35" borderId="1" xfId="2" applyNumberFormat="1" applyFont="1" applyFill="1" applyBorder="1"/>
    <xf numFmtId="0" fontId="7" fillId="7" borderId="28" xfId="0" applyFont="1" applyFill="1" applyBorder="1"/>
    <xf numFmtId="165" fontId="7" fillId="7" borderId="29" xfId="1" applyNumberFormat="1" applyFont="1" applyFill="1" applyBorder="1"/>
    <xf numFmtId="165" fontId="7" fillId="7" borderId="30" xfId="1" applyNumberFormat="1" applyFont="1" applyFill="1" applyBorder="1"/>
    <xf numFmtId="165" fontId="7" fillId="7" borderId="31" xfId="1" applyNumberFormat="1" applyFont="1" applyFill="1" applyBorder="1"/>
    <xf numFmtId="0" fontId="7" fillId="0" borderId="32" xfId="0" applyFont="1" applyBorder="1"/>
    <xf numFmtId="165" fontId="7" fillId="0" borderId="33" xfId="1" applyNumberFormat="1" applyFont="1" applyBorder="1"/>
    <xf numFmtId="165" fontId="7" fillId="0" borderId="34" xfId="1" applyNumberFormat="1" applyFont="1" applyBorder="1"/>
    <xf numFmtId="165" fontId="7" fillId="0" borderId="35" xfId="1" applyNumberFormat="1" applyFont="1" applyBorder="1"/>
    <xf numFmtId="9" fontId="0" fillId="0" borderId="0" xfId="0" applyNumberFormat="1"/>
    <xf numFmtId="0" fontId="12" fillId="0" borderId="0" xfId="0" applyFont="1" applyAlignment="1">
      <alignment horizontal="left" indent="1"/>
    </xf>
    <xf numFmtId="166" fontId="12" fillId="0" borderId="36" xfId="2" applyNumberFormat="1" applyFont="1" applyBorder="1"/>
    <xf numFmtId="166" fontId="12" fillId="0" borderId="17" xfId="2" applyNumberFormat="1" applyFont="1" applyBorder="1"/>
    <xf numFmtId="0" fontId="12" fillId="0" borderId="37" xfId="0" applyFont="1" applyBorder="1" applyAlignment="1">
      <alignment horizontal="left" indent="1"/>
    </xf>
    <xf numFmtId="166" fontId="12" fillId="0" borderId="38" xfId="2" applyNumberFormat="1" applyFont="1" applyBorder="1"/>
    <xf numFmtId="166" fontId="12" fillId="0" borderId="37" xfId="2" applyNumberFormat="1" applyFont="1" applyBorder="1"/>
    <xf numFmtId="0" fontId="46" fillId="48" borderId="2" xfId="0" applyFont="1" applyFill="1" applyBorder="1"/>
    <xf numFmtId="0" fontId="47" fillId="48" borderId="2" xfId="0" applyFont="1" applyFill="1" applyBorder="1"/>
    <xf numFmtId="0" fontId="0" fillId="0" borderId="40" xfId="0" applyBorder="1"/>
    <xf numFmtId="165" fontId="0" fillId="0" borderId="40" xfId="1" applyNumberFormat="1" applyFont="1" applyBorder="1"/>
    <xf numFmtId="165" fontId="0" fillId="0" borderId="1" xfId="1" applyNumberFormat="1" applyFont="1" applyBorder="1"/>
    <xf numFmtId="0" fontId="34" fillId="0" borderId="11" xfId="0" applyFont="1" applyBorder="1"/>
    <xf numFmtId="166" fontId="34" fillId="0" borderId="11" xfId="2" applyNumberFormat="1" applyFont="1" applyBorder="1"/>
    <xf numFmtId="166" fontId="34" fillId="0" borderId="0" xfId="2" applyNumberFormat="1" applyFont="1"/>
    <xf numFmtId="0" fontId="34" fillId="0" borderId="39" xfId="0" applyFont="1" applyBorder="1"/>
    <xf numFmtId="0" fontId="0" fillId="0" borderId="39" xfId="0" applyBorder="1"/>
    <xf numFmtId="9" fontId="34" fillId="0" borderId="39" xfId="0" applyNumberFormat="1" applyFont="1" applyBorder="1"/>
    <xf numFmtId="164" fontId="7" fillId="0" borderId="0" xfId="2" applyNumberFormat="1" applyFont="1" applyFill="1"/>
    <xf numFmtId="9" fontId="44" fillId="46" borderId="27" xfId="14" applyNumberFormat="1" applyAlignment="1">
      <alignment horizontal="right"/>
    </xf>
    <xf numFmtId="0" fontId="10" fillId="49" borderId="0" xfId="0" applyFont="1" applyFill="1" applyAlignment="1">
      <alignment horizontal="center"/>
    </xf>
    <xf numFmtId="44" fontId="0" fillId="0" borderId="0" xfId="0" applyNumberFormat="1"/>
    <xf numFmtId="166" fontId="34" fillId="0" borderId="0" xfId="2" applyNumberFormat="1" applyFont="1" applyFill="1"/>
    <xf numFmtId="166" fontId="13" fillId="7" borderId="0" xfId="2" applyNumberFormat="1" applyFont="1" applyFill="1"/>
    <xf numFmtId="164" fontId="13" fillId="0" borderId="0" xfId="2" applyNumberFormat="1" applyFont="1" applyFill="1"/>
    <xf numFmtId="166" fontId="13" fillId="0" borderId="0" xfId="2" applyNumberFormat="1" applyFont="1" applyFill="1"/>
    <xf numFmtId="164" fontId="7" fillId="0" borderId="24" xfId="2" applyNumberFormat="1" applyFont="1" applyFill="1" applyBorder="1"/>
    <xf numFmtId="166" fontId="34" fillId="3" borderId="0" xfId="2" applyNumberFormat="1" applyFont="1" applyFill="1"/>
    <xf numFmtId="166" fontId="34" fillId="21" borderId="0" xfId="2" applyNumberFormat="1" applyFont="1" applyFill="1"/>
    <xf numFmtId="166" fontId="41" fillId="0" borderId="0" xfId="1" applyNumberFormat="1" applyFont="1"/>
    <xf numFmtId="164" fontId="35" fillId="0" borderId="0" xfId="2" applyNumberFormat="1" applyFont="1" applyFill="1"/>
    <xf numFmtId="3" fontId="0" fillId="0" borderId="0" xfId="0" applyNumberFormat="1"/>
    <xf numFmtId="0" fontId="49" fillId="51" borderId="43" xfId="0" applyFont="1" applyFill="1" applyBorder="1" applyAlignment="1">
      <alignment horizontal="left" vertical="center" readingOrder="1"/>
    </xf>
    <xf numFmtId="0" fontId="50" fillId="52" borderId="44" xfId="0" applyFont="1" applyFill="1" applyBorder="1" applyAlignment="1">
      <alignment horizontal="left" readingOrder="1"/>
    </xf>
    <xf numFmtId="3" fontId="51" fillId="52" borderId="44" xfId="0" applyNumberFormat="1" applyFont="1" applyFill="1" applyBorder="1" applyAlignment="1">
      <alignment horizontal="left" readingOrder="1"/>
    </xf>
    <xf numFmtId="0" fontId="51" fillId="52" borderId="44" xfId="0" applyFont="1" applyFill="1" applyBorder="1" applyAlignment="1">
      <alignment horizontal="left" readingOrder="1"/>
    </xf>
    <xf numFmtId="0" fontId="50" fillId="51" borderId="44" xfId="0" applyFont="1" applyFill="1" applyBorder="1" applyAlignment="1">
      <alignment horizontal="left" readingOrder="1"/>
    </xf>
    <xf numFmtId="0" fontId="51" fillId="51" borderId="44" xfId="0" applyFont="1" applyFill="1" applyBorder="1" applyAlignment="1">
      <alignment horizontal="left" readingOrder="1"/>
    </xf>
    <xf numFmtId="0" fontId="52" fillId="52" borderId="44" xfId="0" applyFont="1" applyFill="1" applyBorder="1" applyAlignment="1">
      <alignment horizontal="left" readingOrder="1"/>
    </xf>
    <xf numFmtId="3" fontId="53" fillId="52" borderId="44" xfId="0" applyNumberFormat="1" applyFont="1" applyFill="1" applyBorder="1" applyAlignment="1">
      <alignment horizontal="left" readingOrder="1"/>
    </xf>
    <xf numFmtId="0" fontId="34" fillId="0" borderId="0" xfId="0" applyFont="1"/>
    <xf numFmtId="165" fontId="17" fillId="41" borderId="1" xfId="1" applyNumberFormat="1" applyFont="1" applyFill="1" applyBorder="1" applyAlignment="1">
      <alignment horizontal="left"/>
    </xf>
    <xf numFmtId="177" fontId="17" fillId="41" borderId="1" xfId="0" applyNumberFormat="1" applyFont="1" applyFill="1" applyBorder="1" applyAlignment="1">
      <alignment horizontal="right"/>
    </xf>
    <xf numFmtId="0" fontId="0" fillId="0" borderId="1" xfId="0" applyBorder="1" applyAlignment="1">
      <alignment horizontal="left" indent="1"/>
    </xf>
    <xf numFmtId="177" fontId="0" fillId="0" borderId="1" xfId="0" applyNumberFormat="1" applyBorder="1"/>
    <xf numFmtId="0" fontId="54" fillId="53" borderId="0" xfId="0" applyFont="1" applyFill="1" applyAlignment="1">
      <alignment horizontal="centerContinuous"/>
    </xf>
    <xf numFmtId="0" fontId="46" fillId="53" borderId="0" xfId="0" applyFont="1" applyFill="1" applyAlignment="1">
      <alignment horizontal="centerContinuous"/>
    </xf>
    <xf numFmtId="166" fontId="0" fillId="0" borderId="1" xfId="2" applyNumberFormat="1" applyFont="1" applyBorder="1"/>
    <xf numFmtId="0" fontId="0" fillId="0" borderId="5" xfId="0" applyBorder="1"/>
    <xf numFmtId="166" fontId="0" fillId="0" borderId="5" xfId="2" applyNumberFormat="1" applyFont="1" applyBorder="1"/>
    <xf numFmtId="0" fontId="34" fillId="0" borderId="2" xfId="0" applyFont="1" applyBorder="1"/>
    <xf numFmtId="166" fontId="34" fillId="0" borderId="2" xfId="2" applyNumberFormat="1" applyFont="1" applyBorder="1"/>
    <xf numFmtId="44" fontId="17" fillId="0" borderId="0" xfId="0" applyNumberFormat="1" applyFont="1" applyAlignment="1">
      <alignment horizontal="right"/>
    </xf>
    <xf numFmtId="167" fontId="12" fillId="0" borderId="0" xfId="3" applyNumberFormat="1" applyFont="1" applyAlignment="1">
      <alignment horizontal="center"/>
    </xf>
    <xf numFmtId="0" fontId="48" fillId="50" borderId="41" xfId="0" applyFont="1" applyFill="1" applyBorder="1" applyAlignment="1">
      <alignment horizontal="center" vertical="center" readingOrder="1"/>
    </xf>
    <xf numFmtId="0" fontId="48" fillId="50" borderId="42" xfId="0" applyFont="1" applyFill="1" applyBorder="1" applyAlignment="1">
      <alignment horizontal="center" vertical="center" readingOrder="1"/>
    </xf>
  </cellXfs>
  <cellStyles count="16">
    <cellStyle name="Calculation" xfId="15" builtinId="22"/>
    <cellStyle name="Comma" xfId="1" builtinId="3"/>
    <cellStyle name="Comma 2" xfId="9" xr:uid="{41F5A223-7196-4A44-9281-55579DC2ACBA}"/>
    <cellStyle name="Comma 3" xfId="12" xr:uid="{554A18C5-E8E5-45CC-8520-47781206261A}"/>
    <cellStyle name="Currency" xfId="2" builtinId="4"/>
    <cellStyle name="Currency 2" xfId="8" xr:uid="{D1A5A80F-2E47-4919-A7B9-72C1A467DCAC}"/>
    <cellStyle name="Currency 2 2" xfId="11" xr:uid="{EA7C5ABE-00D0-48B1-8F94-FD3C204F2596}"/>
    <cellStyle name="Hyperlink" xfId="6" builtinId="8"/>
    <cellStyle name="Input" xfId="14" builtinId="20"/>
    <cellStyle name="Normal" xfId="0" builtinId="0"/>
    <cellStyle name="Normal 2" xfId="7" xr:uid="{23C332A4-955F-48A3-A28E-C0CDA9B46528}"/>
    <cellStyle name="Normal 2 10" xfId="3" xr:uid="{46F96782-3103-45AB-8AF3-88AB50C4640B}"/>
    <cellStyle name="Normal 2 2" xfId="5" xr:uid="{7A6A864A-5209-43D2-8D21-B06E94B1B1E1}"/>
    <cellStyle name="Normal 2 2 11" xfId="4" xr:uid="{CA71F42B-1A73-48EE-9F6F-006A9B7A0717}"/>
    <cellStyle name="Percent" xfId="13" builtinId="5"/>
    <cellStyle name="Percent 2" xfId="10" xr:uid="{C9D6E874-C31D-4723-9517-463833600674}"/>
  </cellStyles>
  <dxfs count="24">
    <dxf>
      <font>
        <color rgb="FF9C0006"/>
      </font>
    </dxf>
    <dxf>
      <font>
        <color rgb="FF9C0006"/>
      </font>
    </dxf>
    <dxf>
      <font>
        <color rgb="FF9C0006"/>
      </font>
    </dxf>
    <dxf>
      <font>
        <color rgb="FF9C0006"/>
      </font>
    </dxf>
    <dxf>
      <font>
        <color rgb="FF9C0006"/>
      </font>
    </dxf>
    <dxf>
      <font>
        <color rgb="FF9C0006"/>
      </font>
    </dxf>
    <dxf>
      <font>
        <color rgb="FF9C0006"/>
      </font>
    </dxf>
    <dxf>
      <font>
        <color rgb="FF006100"/>
      </font>
    </dxf>
    <dxf>
      <font>
        <color rgb="FF9C0006"/>
      </font>
    </dxf>
    <dxf>
      <font>
        <color rgb="FF006100"/>
      </font>
    </dxf>
    <dxf>
      <font>
        <color rgb="FF9C0006"/>
      </font>
    </dxf>
    <dxf>
      <font>
        <color rgb="FF006100"/>
      </font>
    </dxf>
    <dxf>
      <font>
        <color rgb="FF9C0006"/>
      </font>
    </dxf>
    <dxf>
      <font>
        <color rgb="FF006100"/>
      </font>
    </dxf>
    <dxf>
      <font>
        <color rgb="FF9C0006"/>
      </font>
    </dxf>
    <dxf>
      <font>
        <color rgb="FF006100"/>
      </font>
    </dxf>
    <dxf>
      <font>
        <color rgb="FF9C0006"/>
      </font>
    </dxf>
    <dxf>
      <font>
        <color rgb="FF006100"/>
      </font>
    </dxf>
    <dxf>
      <font>
        <color rgb="FF9C0006"/>
      </font>
    </dxf>
    <dxf>
      <font>
        <color rgb="FF006100"/>
      </font>
    </dxf>
    <dxf>
      <font>
        <color rgb="FF9C0006"/>
      </font>
    </dxf>
    <dxf>
      <font>
        <color rgb="FF006100"/>
      </font>
    </dxf>
    <dxf>
      <font>
        <color rgb="FF9C0006"/>
      </font>
    </dxf>
    <dxf>
      <font>
        <color rgb="FF006100"/>
      </font>
    </dxf>
  </dxfs>
  <tableStyles count="0" defaultTableStyle="TableStyleMedium2" defaultPivotStyle="PivotStyleLight16"/>
  <colors>
    <mruColors>
      <color rgb="FF006100"/>
      <color rgb="FFE1E5EB"/>
      <color rgb="FFAFDC7E"/>
      <color rgb="FFCAE8AA"/>
      <color rgb="FFFFFFC5"/>
      <color rgb="FFFFE593"/>
      <color rgb="FFDA828A"/>
      <color rgb="FFE7F4D8"/>
      <color rgb="FFFBEFEF"/>
      <color rgb="FFA638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microsoft.com/office/2017/10/relationships/person" Target="persons/perso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3.xml"/><Relationship Id="rId40" Type="http://schemas.openxmlformats.org/officeDocument/2006/relationships/styles" Target="styles.xml"/><Relationship Id="rId45"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43"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4.xml"/><Relationship Id="rId46" Type="http://schemas.openxmlformats.org/officeDocument/2006/relationships/customXml" Target="../customXml/item3.xml"/><Relationship Id="rId20" Type="http://schemas.openxmlformats.org/officeDocument/2006/relationships/worksheet" Target="worksheets/sheet20.xml"/><Relationship Id="rId41"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Grenette Pro Light" panose="02020302040202040103" pitchFamily="18" charset="0"/>
                <a:ea typeface="+mn-ea"/>
                <a:cs typeface="+mn-cs"/>
              </a:defRPr>
            </a:pPr>
            <a:r>
              <a:rPr lang="en-US" b="1"/>
              <a:t>Revenue ; in</a:t>
            </a:r>
            <a:r>
              <a:rPr lang="en-US" b="1" baseline="0"/>
              <a:t> Millions</a:t>
            </a:r>
            <a:endParaRPr lang="en-US" b="1"/>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Grenette Pro Light" panose="02020302040202040103" pitchFamily="18" charset="0"/>
              <a:ea typeface="+mn-ea"/>
              <a:cs typeface="+mn-cs"/>
            </a:defRPr>
          </a:pPr>
          <a:endParaRPr lang="en-US"/>
        </a:p>
      </c:txPr>
    </c:title>
    <c:autoTitleDeleted val="0"/>
    <c:plotArea>
      <c:layout/>
      <c:barChart>
        <c:barDir val="col"/>
        <c:grouping val="stacked"/>
        <c:varyColors val="0"/>
        <c:ser>
          <c:idx val="0"/>
          <c:order val="0"/>
          <c:tx>
            <c:strRef>
              <c:f>Presentation!$C$5</c:f>
              <c:strCache>
                <c:ptCount val="1"/>
                <c:pt idx="0">
                  <c:v>Ingredients</c:v>
                </c:pt>
              </c:strCache>
            </c:strRef>
          </c:tx>
          <c:spPr>
            <a:solidFill>
              <a:schemeClr val="accent2">
                <a:lumMod val="75000"/>
              </a:schemeClr>
            </a:solidFill>
            <a:ln>
              <a:noFill/>
            </a:ln>
            <a:effectLst/>
          </c:spPr>
          <c:invertIfNegative val="0"/>
          <c:cat>
            <c:strRef>
              <c:f>Presentation!$D$4:$M$4</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Presentation!$D$5:$M$5</c:f>
              <c:numCache>
                <c:formatCode>_("$"* #,##0_);_("$"* \(#,##0\);_("$"* "-"??_);_(@_)</c:formatCode>
                <c:ptCount val="10"/>
                <c:pt idx="0">
                  <c:v>0</c:v>
                </c:pt>
                <c:pt idx="1">
                  <c:v>9.3728638356164389</c:v>
                </c:pt>
                <c:pt idx="2">
                  <c:v>20.764602739726026</c:v>
                </c:pt>
                <c:pt idx="3">
                  <c:v>62.425699917465749</c:v>
                </c:pt>
                <c:pt idx="4">
                  <c:v>218.96345555057536</c:v>
                </c:pt>
                <c:pt idx="5">
                  <c:v>435.91955422389213</c:v>
                </c:pt>
                <c:pt idx="6">
                  <c:v>487.45342836657528</c:v>
                </c:pt>
                <c:pt idx="7">
                  <c:v>523.77685302410953</c:v>
                </c:pt>
                <c:pt idx="8">
                  <c:v>539.39329138027392</c:v>
                </c:pt>
                <c:pt idx="9">
                  <c:v>542.42753795561634</c:v>
                </c:pt>
              </c:numCache>
            </c:numRef>
          </c:val>
          <c:extLst>
            <c:ext xmlns:c16="http://schemas.microsoft.com/office/drawing/2014/chart" uri="{C3380CC4-5D6E-409C-BE32-E72D297353CC}">
              <c16:uniqueId val="{00000000-D584-4C30-B9E8-ABA3121DDED7}"/>
            </c:ext>
          </c:extLst>
        </c:ser>
        <c:ser>
          <c:idx val="1"/>
          <c:order val="1"/>
          <c:tx>
            <c:strRef>
              <c:f>Presentation!$C$6</c:f>
              <c:strCache>
                <c:ptCount val="1"/>
                <c:pt idx="0">
                  <c:v>TUC</c:v>
                </c:pt>
              </c:strCache>
            </c:strRef>
          </c:tx>
          <c:spPr>
            <a:solidFill>
              <a:schemeClr val="tx2">
                <a:lumMod val="60000"/>
                <a:lumOff val="40000"/>
              </a:schemeClr>
            </a:solidFill>
            <a:ln>
              <a:noFill/>
            </a:ln>
            <a:effectLst/>
          </c:spPr>
          <c:invertIfNegative val="0"/>
          <c:cat>
            <c:strRef>
              <c:f>Presentation!$D$4:$M$4</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Presentation!$D$6:$M$6</c:f>
              <c:numCache>
                <c:formatCode>_("$"* #,##0_);_("$"* \(#,##0\);_("$"* "-"??_);_(@_)</c:formatCode>
                <c:ptCount val="10"/>
                <c:pt idx="0">
                  <c:v>0</c:v>
                </c:pt>
                <c:pt idx="1">
                  <c:v>10.768000000000001</c:v>
                </c:pt>
                <c:pt idx="2">
                  <c:v>3.8781999999999996</c:v>
                </c:pt>
                <c:pt idx="3">
                  <c:v>1.6893638000000002</c:v>
                </c:pt>
                <c:pt idx="4">
                  <c:v>0</c:v>
                </c:pt>
                <c:pt idx="5">
                  <c:v>0</c:v>
                </c:pt>
                <c:pt idx="6">
                  <c:v>0</c:v>
                </c:pt>
                <c:pt idx="7">
                  <c:v>0</c:v>
                </c:pt>
                <c:pt idx="8">
                  <c:v>0</c:v>
                </c:pt>
                <c:pt idx="9">
                  <c:v>0</c:v>
                </c:pt>
              </c:numCache>
            </c:numRef>
          </c:val>
          <c:extLst>
            <c:ext xmlns:c16="http://schemas.microsoft.com/office/drawing/2014/chart" uri="{C3380CC4-5D6E-409C-BE32-E72D297353CC}">
              <c16:uniqueId val="{00000001-D584-4C30-B9E8-ABA3121DDED7}"/>
            </c:ext>
          </c:extLst>
        </c:ser>
        <c:ser>
          <c:idx val="2"/>
          <c:order val="2"/>
          <c:tx>
            <c:strRef>
              <c:f>Presentation!$C$7</c:f>
              <c:strCache>
                <c:ptCount val="1"/>
                <c:pt idx="0">
                  <c:v>TUC Intl</c:v>
                </c:pt>
              </c:strCache>
            </c:strRef>
          </c:tx>
          <c:spPr>
            <a:solidFill>
              <a:schemeClr val="tx2">
                <a:lumMod val="20000"/>
                <a:lumOff val="80000"/>
              </a:schemeClr>
            </a:solidFill>
            <a:ln>
              <a:noFill/>
            </a:ln>
            <a:effectLst/>
          </c:spPr>
          <c:invertIfNegative val="0"/>
          <c:cat>
            <c:strRef>
              <c:f>Presentation!$D$4:$M$4</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Presentation!$D$7:$M$7</c:f>
              <c:numCache>
                <c:formatCode>_("$"* #,##0_);_("$"* \(#,##0\);_("$"* "-"??_);_(@_)</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D584-4C30-B9E8-ABA3121DDED7}"/>
            </c:ext>
          </c:extLst>
        </c:ser>
        <c:ser>
          <c:idx val="3"/>
          <c:order val="3"/>
          <c:tx>
            <c:strRef>
              <c:f>Presentation!$C$8</c:f>
              <c:strCache>
                <c:ptCount val="1"/>
                <c:pt idx="0">
                  <c:v>Nth Bio</c:v>
                </c:pt>
              </c:strCache>
            </c:strRef>
          </c:tx>
          <c:spPr>
            <a:solidFill>
              <a:srgbClr val="AFDC7E"/>
            </a:solidFill>
            <a:ln>
              <a:noFill/>
            </a:ln>
            <a:effectLst/>
          </c:spPr>
          <c:invertIfNegative val="0"/>
          <c:cat>
            <c:strRef>
              <c:f>Presentation!$D$4:$M$4</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Presentation!$D$8:$M$8</c:f>
              <c:numCache>
                <c:formatCode>_("$"* #,##0_);_("$"* \(#,##0\);_("$"* "-"??_);_(@_)</c:formatCode>
                <c:ptCount val="10"/>
                <c:pt idx="0">
                  <c:v>0</c:v>
                </c:pt>
                <c:pt idx="1">
                  <c:v>5.4</c:v>
                </c:pt>
                <c:pt idx="2">
                  <c:v>12.923999999999999</c:v>
                </c:pt>
                <c:pt idx="3">
                  <c:v>22.310050000000004</c:v>
                </c:pt>
                <c:pt idx="4">
                  <c:v>43.807395000000007</c:v>
                </c:pt>
                <c:pt idx="5">
                  <c:v>46.072764750000005</c:v>
                </c:pt>
                <c:pt idx="6">
                  <c:v>48.773902987499994</c:v>
                </c:pt>
                <c:pt idx="7">
                  <c:v>51.414348136874999</c:v>
                </c:pt>
                <c:pt idx="8">
                  <c:v>54.547340543718768</c:v>
                </c:pt>
                <c:pt idx="9">
                  <c:v>57.690665070904686</c:v>
                </c:pt>
              </c:numCache>
            </c:numRef>
          </c:val>
          <c:extLst>
            <c:ext xmlns:c16="http://schemas.microsoft.com/office/drawing/2014/chart" uri="{C3380CC4-5D6E-409C-BE32-E72D297353CC}">
              <c16:uniqueId val="{00000003-D584-4C30-B9E8-ABA3121DDED7}"/>
            </c:ext>
          </c:extLst>
        </c:ser>
        <c:dLbls>
          <c:showLegendKey val="0"/>
          <c:showVal val="0"/>
          <c:showCatName val="0"/>
          <c:showSerName val="0"/>
          <c:showPercent val="0"/>
          <c:showBubbleSize val="0"/>
        </c:dLbls>
        <c:gapWidth val="55"/>
        <c:overlap val="100"/>
        <c:axId val="63270975"/>
        <c:axId val="63265151"/>
      </c:barChart>
      <c:scatterChart>
        <c:scatterStyle val="lineMarker"/>
        <c:varyColors val="0"/>
        <c:ser>
          <c:idx val="4"/>
          <c:order val="4"/>
          <c:spPr>
            <a:ln w="25400" cap="rnd">
              <a:no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Grenette Pro Light" panose="02020302040202040103" pitchFamily="18" charset="0"/>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Presentation!$D$4:$M$4</c:f>
              <c:strCache>
                <c:ptCount val="10"/>
                <c:pt idx="0">
                  <c:v>2022</c:v>
                </c:pt>
                <c:pt idx="1">
                  <c:v>2023</c:v>
                </c:pt>
                <c:pt idx="2">
                  <c:v>2024</c:v>
                </c:pt>
                <c:pt idx="3">
                  <c:v>2025</c:v>
                </c:pt>
                <c:pt idx="4">
                  <c:v>2026</c:v>
                </c:pt>
                <c:pt idx="5">
                  <c:v>2027</c:v>
                </c:pt>
                <c:pt idx="6">
                  <c:v>2028</c:v>
                </c:pt>
                <c:pt idx="7">
                  <c:v>2029</c:v>
                </c:pt>
                <c:pt idx="8">
                  <c:v>2030</c:v>
                </c:pt>
                <c:pt idx="9">
                  <c:v>2031</c:v>
                </c:pt>
              </c:strCache>
            </c:strRef>
          </c:xVal>
          <c:yVal>
            <c:numRef>
              <c:f>Presentation!$D$9:$M$9</c:f>
              <c:numCache>
                <c:formatCode>_("$"* #,##0_);_("$"* \(#,##0\);_("$"* "-"??_);_(@_)</c:formatCode>
                <c:ptCount val="10"/>
                <c:pt idx="0">
                  <c:v>0</c:v>
                </c:pt>
                <c:pt idx="1">
                  <c:v>25.540863835616442</c:v>
                </c:pt>
                <c:pt idx="2">
                  <c:v>37.566802739726029</c:v>
                </c:pt>
                <c:pt idx="3">
                  <c:v>86.425113717465749</c:v>
                </c:pt>
                <c:pt idx="4">
                  <c:v>262.77085055057535</c:v>
                </c:pt>
                <c:pt idx="5">
                  <c:v>481.99231897389211</c:v>
                </c:pt>
                <c:pt idx="6">
                  <c:v>536.22733135407532</c:v>
                </c:pt>
                <c:pt idx="7">
                  <c:v>575.19120116098452</c:v>
                </c:pt>
                <c:pt idx="8">
                  <c:v>593.94063192399267</c:v>
                </c:pt>
                <c:pt idx="9">
                  <c:v>600.11820302652109</c:v>
                </c:pt>
              </c:numCache>
            </c:numRef>
          </c:yVal>
          <c:smooth val="0"/>
          <c:extLst>
            <c:ext xmlns:c16="http://schemas.microsoft.com/office/drawing/2014/chart" uri="{C3380CC4-5D6E-409C-BE32-E72D297353CC}">
              <c16:uniqueId val="{00000005-D584-4C30-B9E8-ABA3121DDED7}"/>
            </c:ext>
          </c:extLst>
        </c:ser>
        <c:dLbls>
          <c:showLegendKey val="0"/>
          <c:showVal val="0"/>
          <c:showCatName val="0"/>
          <c:showSerName val="0"/>
          <c:showPercent val="0"/>
          <c:showBubbleSize val="0"/>
        </c:dLbls>
        <c:axId val="65333471"/>
        <c:axId val="65328479"/>
      </c:scatterChart>
      <c:catAx>
        <c:axId val="632709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Grenette Pro Light" panose="02020302040202040103" pitchFamily="18" charset="0"/>
                <a:ea typeface="+mn-ea"/>
                <a:cs typeface="+mn-cs"/>
              </a:defRPr>
            </a:pPr>
            <a:endParaRPr lang="en-US"/>
          </a:p>
        </c:txPr>
        <c:crossAx val="63265151"/>
        <c:crosses val="autoZero"/>
        <c:auto val="1"/>
        <c:lblAlgn val="ctr"/>
        <c:lblOffset val="100"/>
        <c:noMultiLvlLbl val="0"/>
      </c:catAx>
      <c:valAx>
        <c:axId val="63265151"/>
        <c:scaling>
          <c:orientation val="minMax"/>
        </c:scaling>
        <c:delete val="0"/>
        <c:axPos val="l"/>
        <c:majorGridlines>
          <c:spPr>
            <a:ln w="9525" cap="flat" cmpd="sng" algn="ctr">
              <a:solidFill>
                <a:schemeClr val="tx1">
                  <a:lumMod val="15000"/>
                  <a:lumOff val="85000"/>
                </a:schemeClr>
              </a:solidFill>
              <a:prstDash val="dash"/>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63270975"/>
        <c:crosses val="autoZero"/>
        <c:crossBetween val="between"/>
      </c:valAx>
      <c:valAx>
        <c:axId val="65328479"/>
        <c:scaling>
          <c:orientation val="minMax"/>
        </c:scaling>
        <c:delete val="1"/>
        <c:axPos val="r"/>
        <c:numFmt formatCode="_(&quot;$&quot;* #,##0_);_(&quot;$&quot;* \(#,##0\);_(&quot;$&quot;* &quot;-&quot;??_);_(@_)" sourceLinked="1"/>
        <c:majorTickMark val="out"/>
        <c:minorTickMark val="none"/>
        <c:tickLblPos val="nextTo"/>
        <c:crossAx val="65333471"/>
        <c:crosses val="max"/>
        <c:crossBetween val="midCat"/>
      </c:valAx>
      <c:valAx>
        <c:axId val="65333471"/>
        <c:scaling>
          <c:orientation val="minMax"/>
        </c:scaling>
        <c:delete val="1"/>
        <c:axPos val="t"/>
        <c:majorTickMark val="out"/>
        <c:minorTickMark val="none"/>
        <c:tickLblPos val="nextTo"/>
        <c:crossAx val="65328479"/>
        <c:crosses val="max"/>
        <c:crossBetween val="midCat"/>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ysClr val="windowText" lastClr="000000"/>
                </a:solidFill>
                <a:latin typeface="Grenette Pro Light" panose="02020302040202040103" pitchFamily="18" charset="0"/>
                <a:ea typeface="+mn-ea"/>
                <a:cs typeface="+mn-cs"/>
              </a:defRPr>
            </a:pPr>
            <a:r>
              <a:rPr lang="en-US" b="1"/>
              <a:t>LGB Production ;  in Metric Tons</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Grenette Pro Light" panose="02020302040202040103" pitchFamily="18" charset="0"/>
              <a:ea typeface="+mn-ea"/>
              <a:cs typeface="+mn-cs"/>
            </a:defRPr>
          </a:pPr>
          <a:endParaRPr lang="en-US"/>
        </a:p>
      </c:txPr>
    </c:title>
    <c:autoTitleDeleted val="0"/>
    <c:plotArea>
      <c:layout/>
      <c:areaChart>
        <c:grouping val="stacked"/>
        <c:varyColors val="0"/>
        <c:ser>
          <c:idx val="0"/>
          <c:order val="0"/>
          <c:tx>
            <c:strRef>
              <c:f>Presentation!$C$36</c:f>
              <c:strCache>
                <c:ptCount val="1"/>
                <c:pt idx="0">
                  <c:v>Pele</c:v>
                </c:pt>
              </c:strCache>
            </c:strRef>
          </c:tx>
          <c:spPr>
            <a:solidFill>
              <a:schemeClr val="accent3">
                <a:lumMod val="50000"/>
              </a:schemeClr>
            </a:solidFill>
            <a:ln>
              <a:noFill/>
            </a:ln>
            <a:effectLst/>
          </c:spPr>
          <c:cat>
            <c:strRef>
              <c:f>Presentation!$D$35:$M$35</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Presentation!$D$36:$M$36</c:f>
              <c:numCache>
                <c:formatCode>_(* #,##0_);_(* \(#,##0\);_(* "-"??_);_(@_)</c:formatCode>
                <c:ptCount val="10"/>
                <c:pt idx="0">
                  <c:v>0</c:v>
                </c:pt>
                <c:pt idx="1">
                  <c:v>0</c:v>
                </c:pt>
                <c:pt idx="2">
                  <c:v>0</c:v>
                </c:pt>
                <c:pt idx="3">
                  <c:v>2519.2859999999996</c:v>
                </c:pt>
                <c:pt idx="4">
                  <c:v>7197.9599999999991</c:v>
                </c:pt>
                <c:pt idx="5">
                  <c:v>10197.959999999999</c:v>
                </c:pt>
                <c:pt idx="6">
                  <c:v>12197.96</c:v>
                </c:pt>
                <c:pt idx="7">
                  <c:v>12197.96</c:v>
                </c:pt>
                <c:pt idx="8">
                  <c:v>12197.96</c:v>
                </c:pt>
                <c:pt idx="9">
                  <c:v>12197.96</c:v>
                </c:pt>
              </c:numCache>
            </c:numRef>
          </c:val>
          <c:extLst>
            <c:ext xmlns:c16="http://schemas.microsoft.com/office/drawing/2014/chart" uri="{C3380CC4-5D6E-409C-BE32-E72D297353CC}">
              <c16:uniqueId val="{00000000-A9AD-4F9C-ABFE-3B6C6A2A9EAF}"/>
            </c:ext>
          </c:extLst>
        </c:ser>
        <c:ser>
          <c:idx val="1"/>
          <c:order val="1"/>
          <c:tx>
            <c:strRef>
              <c:f>Presentation!$C$37</c:f>
              <c:strCache>
                <c:ptCount val="1"/>
                <c:pt idx="0">
                  <c:v>Diego</c:v>
                </c:pt>
              </c:strCache>
            </c:strRef>
          </c:tx>
          <c:spPr>
            <a:solidFill>
              <a:schemeClr val="accent3">
                <a:lumMod val="75000"/>
              </a:schemeClr>
            </a:solidFill>
            <a:ln>
              <a:noFill/>
            </a:ln>
            <a:effectLst/>
          </c:spPr>
          <c:cat>
            <c:strRef>
              <c:f>Presentation!$D$35:$M$35</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Presentation!$D$37:$M$37</c:f>
              <c:numCache>
                <c:formatCode>_(* #,##0_);_(* \(#,##0\);_(* "-"??_);_(@_)</c:formatCode>
                <c:ptCount val="10"/>
                <c:pt idx="0">
                  <c:v>0</c:v>
                </c:pt>
                <c:pt idx="1">
                  <c:v>0</c:v>
                </c:pt>
                <c:pt idx="2">
                  <c:v>0</c:v>
                </c:pt>
                <c:pt idx="3">
                  <c:v>0</c:v>
                </c:pt>
                <c:pt idx="4">
                  <c:v>2687.2383999999997</c:v>
                </c:pt>
                <c:pt idx="5">
                  <c:v>7677.8239999999996</c:v>
                </c:pt>
                <c:pt idx="6">
                  <c:v>7677.8239999999996</c:v>
                </c:pt>
                <c:pt idx="7">
                  <c:v>7677.8239999999996</c:v>
                </c:pt>
                <c:pt idx="8">
                  <c:v>7677.8239999999996</c:v>
                </c:pt>
                <c:pt idx="9">
                  <c:v>7677.8239999999996</c:v>
                </c:pt>
              </c:numCache>
            </c:numRef>
          </c:val>
          <c:extLst>
            <c:ext xmlns:c16="http://schemas.microsoft.com/office/drawing/2014/chart" uri="{C3380CC4-5D6E-409C-BE32-E72D297353CC}">
              <c16:uniqueId val="{00000001-A9AD-4F9C-ABFE-3B6C6A2A9EAF}"/>
            </c:ext>
          </c:extLst>
        </c:ser>
        <c:ser>
          <c:idx val="2"/>
          <c:order val="2"/>
          <c:tx>
            <c:strRef>
              <c:f>Presentation!$C$38</c:f>
              <c:strCache>
                <c:ptCount val="1"/>
                <c:pt idx="0">
                  <c:v>Vege</c:v>
                </c:pt>
              </c:strCache>
            </c:strRef>
          </c:tx>
          <c:spPr>
            <a:solidFill>
              <a:schemeClr val="accent3">
                <a:lumMod val="60000"/>
                <a:lumOff val="40000"/>
              </a:schemeClr>
            </a:solidFill>
            <a:ln>
              <a:noFill/>
            </a:ln>
            <a:effectLst/>
          </c:spPr>
          <c:cat>
            <c:strRef>
              <c:f>Presentation!$D$35:$M$35</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Presentation!$D$38:$M$38</c:f>
              <c:numCache>
                <c:formatCode>_(* #,##0_);_(* \(#,##0\);_(* "-"??_);_(@_)</c:formatCode>
                <c:ptCount val="10"/>
                <c:pt idx="0">
                  <c:v>0</c:v>
                </c:pt>
                <c:pt idx="1">
                  <c:v>0</c:v>
                </c:pt>
                <c:pt idx="2">
                  <c:v>0</c:v>
                </c:pt>
                <c:pt idx="3">
                  <c:v>0</c:v>
                </c:pt>
                <c:pt idx="4">
                  <c:v>2687.2383999999997</c:v>
                </c:pt>
                <c:pt idx="5">
                  <c:v>7677.8239999999996</c:v>
                </c:pt>
                <c:pt idx="6">
                  <c:v>7677.8239999999996</c:v>
                </c:pt>
                <c:pt idx="7">
                  <c:v>7677.8239999999996</c:v>
                </c:pt>
                <c:pt idx="8">
                  <c:v>7677.8239999999996</c:v>
                </c:pt>
                <c:pt idx="9">
                  <c:v>7677.8239999999996</c:v>
                </c:pt>
              </c:numCache>
            </c:numRef>
          </c:val>
          <c:extLst>
            <c:ext xmlns:c16="http://schemas.microsoft.com/office/drawing/2014/chart" uri="{C3380CC4-5D6E-409C-BE32-E72D297353CC}">
              <c16:uniqueId val="{00000002-A9AD-4F9C-ABFE-3B6C6A2A9EAF}"/>
            </c:ext>
          </c:extLst>
        </c:ser>
        <c:ser>
          <c:idx val="3"/>
          <c:order val="3"/>
          <c:tx>
            <c:strRef>
              <c:f>Presentation!$C$39</c:f>
              <c:strCache>
                <c:ptCount val="1"/>
                <c:pt idx="0">
                  <c:v>SBL</c:v>
                </c:pt>
              </c:strCache>
            </c:strRef>
          </c:tx>
          <c:spPr>
            <a:solidFill>
              <a:schemeClr val="accent3">
                <a:lumMod val="40000"/>
                <a:lumOff val="60000"/>
              </a:schemeClr>
            </a:solidFill>
            <a:ln>
              <a:noFill/>
            </a:ln>
            <a:effectLst/>
          </c:spPr>
          <c:cat>
            <c:strRef>
              <c:f>Presentation!$D$35:$M$35</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Presentation!$D$39:$M$39</c:f>
              <c:numCache>
                <c:formatCode>_(* #,##0_);_(* \(#,##0\);_(* "-"??_);_(@_)</c:formatCode>
                <c:ptCount val="10"/>
                <c:pt idx="0">
                  <c:v>0</c:v>
                </c:pt>
                <c:pt idx="1">
                  <c:v>230</c:v>
                </c:pt>
                <c:pt idx="2">
                  <c:v>890</c:v>
                </c:pt>
                <c:pt idx="3">
                  <c:v>1020</c:v>
                </c:pt>
                <c:pt idx="4">
                  <c:v>1020</c:v>
                </c:pt>
                <c:pt idx="5">
                  <c:v>0</c:v>
                </c:pt>
                <c:pt idx="6">
                  <c:v>0</c:v>
                </c:pt>
                <c:pt idx="7">
                  <c:v>0</c:v>
                </c:pt>
                <c:pt idx="8">
                  <c:v>0</c:v>
                </c:pt>
                <c:pt idx="9">
                  <c:v>0</c:v>
                </c:pt>
              </c:numCache>
            </c:numRef>
          </c:val>
          <c:extLst>
            <c:ext xmlns:c16="http://schemas.microsoft.com/office/drawing/2014/chart" uri="{C3380CC4-5D6E-409C-BE32-E72D297353CC}">
              <c16:uniqueId val="{00000003-A9AD-4F9C-ABFE-3B6C6A2A9EAF}"/>
            </c:ext>
          </c:extLst>
        </c:ser>
        <c:ser>
          <c:idx val="4"/>
          <c:order val="4"/>
          <c:tx>
            <c:strRef>
              <c:f>Presentation!$C$40</c:f>
              <c:strCache>
                <c:ptCount val="1"/>
                <c:pt idx="0">
                  <c:v>CMOs</c:v>
                </c:pt>
              </c:strCache>
            </c:strRef>
          </c:tx>
          <c:spPr>
            <a:solidFill>
              <a:schemeClr val="tx2">
                <a:lumMod val="60000"/>
                <a:lumOff val="40000"/>
              </a:schemeClr>
            </a:solidFill>
            <a:ln>
              <a:noFill/>
            </a:ln>
            <a:effectLst/>
          </c:spPr>
          <c:cat>
            <c:strRef>
              <c:f>Presentation!$D$35:$M$35</c:f>
              <c:strCache>
                <c:ptCount val="10"/>
                <c:pt idx="0">
                  <c:v>2022</c:v>
                </c:pt>
                <c:pt idx="1">
                  <c:v>2023</c:v>
                </c:pt>
                <c:pt idx="2">
                  <c:v>2024</c:v>
                </c:pt>
                <c:pt idx="3">
                  <c:v>2025</c:v>
                </c:pt>
                <c:pt idx="4">
                  <c:v>2026</c:v>
                </c:pt>
                <c:pt idx="5">
                  <c:v>2027</c:v>
                </c:pt>
                <c:pt idx="6">
                  <c:v>2028</c:v>
                </c:pt>
                <c:pt idx="7">
                  <c:v>2029</c:v>
                </c:pt>
                <c:pt idx="8">
                  <c:v>2030</c:v>
                </c:pt>
                <c:pt idx="9">
                  <c:v>2031</c:v>
                </c:pt>
              </c:strCache>
            </c:strRef>
          </c:cat>
          <c:val>
            <c:numRef>
              <c:f>Presentation!$D$40:$M$40</c:f>
              <c:numCache>
                <c:formatCode>_(* #,##0_);_(* \(#,##0\);_(* "-"??_);_(@_)</c:formatCode>
                <c:ptCount val="10"/>
                <c:pt idx="0">
                  <c:v>0</c:v>
                </c:pt>
                <c:pt idx="1">
                  <c:v>314</c:v>
                </c:pt>
                <c:pt idx="2">
                  <c:v>418</c:v>
                </c:pt>
                <c:pt idx="3">
                  <c:v>300</c:v>
                </c:pt>
                <c:pt idx="4">
                  <c:v>300</c:v>
                </c:pt>
                <c:pt idx="5">
                  <c:v>0</c:v>
                </c:pt>
                <c:pt idx="6">
                  <c:v>0</c:v>
                </c:pt>
                <c:pt idx="7">
                  <c:v>0</c:v>
                </c:pt>
                <c:pt idx="8">
                  <c:v>0</c:v>
                </c:pt>
                <c:pt idx="9">
                  <c:v>0</c:v>
                </c:pt>
              </c:numCache>
            </c:numRef>
          </c:val>
          <c:extLst>
            <c:ext xmlns:c16="http://schemas.microsoft.com/office/drawing/2014/chart" uri="{C3380CC4-5D6E-409C-BE32-E72D297353CC}">
              <c16:uniqueId val="{00000004-A9AD-4F9C-ABFE-3B6C6A2A9EAF}"/>
            </c:ext>
          </c:extLst>
        </c:ser>
        <c:dLbls>
          <c:showLegendKey val="0"/>
          <c:showVal val="0"/>
          <c:showCatName val="0"/>
          <c:showSerName val="0"/>
          <c:showPercent val="0"/>
          <c:showBubbleSize val="0"/>
        </c:dLbls>
        <c:axId val="1364674816"/>
        <c:axId val="1364674400"/>
      </c:areaChart>
      <c:catAx>
        <c:axId val="13646748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Grenette Pro Light" panose="02020302040202040103" pitchFamily="18" charset="0"/>
                <a:ea typeface="+mn-ea"/>
                <a:cs typeface="+mn-cs"/>
              </a:defRPr>
            </a:pPr>
            <a:endParaRPr lang="en-US"/>
          </a:p>
        </c:txPr>
        <c:crossAx val="1364674400"/>
        <c:crosses val="autoZero"/>
        <c:auto val="1"/>
        <c:lblAlgn val="ctr"/>
        <c:lblOffset val="100"/>
        <c:noMultiLvlLbl val="0"/>
      </c:catAx>
      <c:valAx>
        <c:axId val="1364674400"/>
        <c:scaling>
          <c:orientation val="minMax"/>
        </c:scaling>
        <c:delete val="0"/>
        <c:axPos val="l"/>
        <c:majorGridlines>
          <c:spPr>
            <a:ln w="9525" cap="flat" cmpd="sng" algn="ctr">
              <a:solidFill>
                <a:schemeClr val="tx1">
                  <a:lumMod val="15000"/>
                  <a:lumOff val="85000"/>
                </a:schemeClr>
              </a:solidFill>
              <a:prstDash val="dash"/>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364674816"/>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2651488331400439E-2"/>
          <c:y val="6.5269066370033477E-2"/>
          <c:w val="0.84376178559075465"/>
          <c:h val="0.81173370100064379"/>
        </c:manualLayout>
      </c:layout>
      <c:barChart>
        <c:barDir val="col"/>
        <c:grouping val="clustered"/>
        <c:varyColors val="0"/>
        <c:ser>
          <c:idx val="0"/>
          <c:order val="0"/>
          <c:tx>
            <c:strRef>
              <c:f>'Unit Economies'!$B$27</c:f>
              <c:strCache>
                <c:ptCount val="1"/>
                <c:pt idx="0">
                  <c:v>0 Sales Volume (MT)</c:v>
                </c:pt>
              </c:strCache>
            </c:strRef>
          </c:tx>
          <c:spPr>
            <a:solidFill>
              <a:schemeClr val="tx2">
                <a:lumMod val="50000"/>
              </a:schemeClr>
            </a:solidFill>
            <a:ln>
              <a:noFill/>
            </a:ln>
            <a:effectLst/>
          </c:spPr>
          <c:invertIfNegative val="0"/>
          <c:cat>
            <c:numLit>
              <c:formatCode>General</c:formatCode>
              <c:ptCount val="5"/>
              <c:pt idx="0">
                <c:v>2021</c:v>
              </c:pt>
              <c:pt idx="1">
                <c:v>2022</c:v>
              </c:pt>
              <c:pt idx="2">
                <c:v>2023</c:v>
              </c:pt>
              <c:pt idx="3">
                <c:v>2024</c:v>
              </c:pt>
              <c:pt idx="4">
                <c:v>2025</c:v>
              </c:pt>
            </c:numLit>
          </c:cat>
          <c:val>
            <c:numRef>
              <c:f>'Unit Economies'!$C$27:$G$27</c:f>
              <c:numCache>
                <c:formatCode>_(* #,##0_);_(* \(#,##0\);_(* "-"??_);_(@_)</c:formatCode>
                <c:ptCount val="5"/>
                <c:pt idx="0">
                  <c:v>0</c:v>
                </c:pt>
                <c:pt idx="1">
                  <c:v>437.57534246575341</c:v>
                </c:pt>
                <c:pt idx="2">
                  <c:v>1122.4109589041095</c:v>
                </c:pt>
                <c:pt idx="3">
                  <c:v>1896.0827465753425</c:v>
                </c:pt>
                <c:pt idx="4">
                  <c:v>3728.3687808219179</c:v>
                </c:pt>
              </c:numCache>
            </c:numRef>
          </c:val>
          <c:extLst>
            <c:ext xmlns:c16="http://schemas.microsoft.com/office/drawing/2014/chart" uri="{C3380CC4-5D6E-409C-BE32-E72D297353CC}">
              <c16:uniqueId val="{00000000-51C3-4EAE-9C51-C308213C5946}"/>
            </c:ext>
          </c:extLst>
        </c:ser>
        <c:dLbls>
          <c:showLegendKey val="0"/>
          <c:showVal val="0"/>
          <c:showCatName val="0"/>
          <c:showSerName val="0"/>
          <c:showPercent val="0"/>
          <c:showBubbleSize val="0"/>
        </c:dLbls>
        <c:gapWidth val="40"/>
        <c:overlap val="-27"/>
        <c:axId val="599814911"/>
        <c:axId val="599813247"/>
      </c:barChart>
      <c:lineChart>
        <c:grouping val="standard"/>
        <c:varyColors val="0"/>
        <c:ser>
          <c:idx val="2"/>
          <c:order val="1"/>
          <c:tx>
            <c:strRef>
              <c:f>'Unit Economies'!$B$28</c:f>
              <c:strCache>
                <c:ptCount val="1"/>
                <c:pt idx="0">
                  <c:v>Rev per Kg</c:v>
                </c:pt>
              </c:strCache>
            </c:strRef>
          </c:tx>
          <c:spPr>
            <a:ln w="28575" cap="rnd">
              <a:solidFill>
                <a:schemeClr val="accent2"/>
              </a:solidFill>
              <a:round/>
            </a:ln>
            <a:effectLst/>
          </c:spPr>
          <c:marker>
            <c:symbol val="none"/>
          </c:marker>
          <c:cat>
            <c:numRef>
              <c:f>'Unit Economies'!$C$26:$G$26</c:f>
              <c:numCache>
                <c:formatCode>General</c:formatCode>
                <c:ptCount val="5"/>
                <c:pt idx="0">
                  <c:v>0</c:v>
                </c:pt>
                <c:pt idx="1">
                  <c:v>2023</c:v>
                </c:pt>
                <c:pt idx="2">
                  <c:v>2024</c:v>
                </c:pt>
                <c:pt idx="3">
                  <c:v>2025</c:v>
                </c:pt>
                <c:pt idx="4">
                  <c:v>2026</c:v>
                </c:pt>
              </c:numCache>
            </c:numRef>
          </c:cat>
          <c:val>
            <c:numRef>
              <c:f>'Unit Economies'!$C$28:$G$28</c:f>
              <c:numCache>
                <c:formatCode>_("$"* #,##0.0_);_("$"* \(#,##0.0\);_("$"* "-"??_);_(@_)</c:formatCode>
                <c:ptCount val="5"/>
                <c:pt idx="0">
                  <c:v>0</c:v>
                </c:pt>
                <c:pt idx="1">
                  <c:v>21.42</c:v>
                </c:pt>
                <c:pt idx="2">
                  <c:v>18.5</c:v>
                </c:pt>
                <c:pt idx="3">
                  <c:v>17.049999999999997</c:v>
                </c:pt>
                <c:pt idx="4">
                  <c:v>15.400000000000002</c:v>
                </c:pt>
              </c:numCache>
            </c:numRef>
          </c:val>
          <c:smooth val="0"/>
          <c:extLst>
            <c:ext xmlns:c16="http://schemas.microsoft.com/office/drawing/2014/chart" uri="{C3380CC4-5D6E-409C-BE32-E72D297353CC}">
              <c16:uniqueId val="{00000002-51C3-4EAE-9C51-C308213C5946}"/>
            </c:ext>
          </c:extLst>
        </c:ser>
        <c:ser>
          <c:idx val="1"/>
          <c:order val="2"/>
          <c:tx>
            <c:strRef>
              <c:f>'Unit Economies'!$B$29</c:f>
              <c:strCache>
                <c:ptCount val="1"/>
                <c:pt idx="0">
                  <c:v>Cost per Kg</c:v>
                </c:pt>
              </c:strCache>
            </c:strRef>
          </c:tx>
          <c:spPr>
            <a:ln w="28575" cap="rnd">
              <a:solidFill>
                <a:srgbClr val="DA828A"/>
              </a:solidFill>
              <a:round/>
            </a:ln>
            <a:effectLst/>
          </c:spPr>
          <c:marker>
            <c:symbol val="none"/>
          </c:marker>
          <c:cat>
            <c:numRef>
              <c:f>'Unit Economies'!$C$26:$G$26</c:f>
              <c:numCache>
                <c:formatCode>General</c:formatCode>
                <c:ptCount val="5"/>
                <c:pt idx="0">
                  <c:v>0</c:v>
                </c:pt>
                <c:pt idx="1">
                  <c:v>2023</c:v>
                </c:pt>
                <c:pt idx="2">
                  <c:v>2024</c:v>
                </c:pt>
                <c:pt idx="3">
                  <c:v>2025</c:v>
                </c:pt>
                <c:pt idx="4">
                  <c:v>2026</c:v>
                </c:pt>
              </c:numCache>
            </c:numRef>
          </c:cat>
          <c:val>
            <c:numRef>
              <c:f>'Unit Economies'!$C$29:$G$29</c:f>
              <c:numCache>
                <c:formatCode>_("$"* #,##0.0_);_("$"* \(#,##0.0\);_("$"* "-"??_);_(@_)</c:formatCode>
                <c:ptCount val="5"/>
                <c:pt idx="0">
                  <c:v>0</c:v>
                </c:pt>
                <c:pt idx="1">
                  <c:v>81.694852941176478</c:v>
                </c:pt>
                <c:pt idx="2">
                  <c:v>42.912079510703364</c:v>
                </c:pt>
                <c:pt idx="3">
                  <c:v>26.108220299128455</c:v>
                </c:pt>
                <c:pt idx="4">
                  <c:v>16.782702012100124</c:v>
                </c:pt>
              </c:numCache>
            </c:numRef>
          </c:val>
          <c:smooth val="0"/>
          <c:extLst>
            <c:ext xmlns:c16="http://schemas.microsoft.com/office/drawing/2014/chart" uri="{C3380CC4-5D6E-409C-BE32-E72D297353CC}">
              <c16:uniqueId val="{00000001-51C3-4EAE-9C51-C308213C5946}"/>
            </c:ext>
          </c:extLst>
        </c:ser>
        <c:dLbls>
          <c:showLegendKey val="0"/>
          <c:showVal val="0"/>
          <c:showCatName val="0"/>
          <c:showSerName val="0"/>
          <c:showPercent val="0"/>
          <c:showBubbleSize val="0"/>
        </c:dLbls>
        <c:marker val="1"/>
        <c:smooth val="0"/>
        <c:axId val="599847775"/>
        <c:axId val="599850687"/>
      </c:lineChart>
      <c:catAx>
        <c:axId val="5998149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3247"/>
        <c:crosses val="autoZero"/>
        <c:auto val="1"/>
        <c:lblAlgn val="ctr"/>
        <c:lblOffset val="100"/>
        <c:noMultiLvlLbl val="0"/>
      </c:catAx>
      <c:valAx>
        <c:axId val="599813247"/>
        <c:scaling>
          <c:orientation val="minMax"/>
        </c:scaling>
        <c:delete val="0"/>
        <c:axPos val="l"/>
        <c:majorGridlines>
          <c:spPr>
            <a:ln w="317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4911"/>
        <c:crosses val="autoZero"/>
        <c:crossBetween val="between"/>
      </c:valAx>
      <c:valAx>
        <c:axId val="599850687"/>
        <c:scaling>
          <c:orientation val="minMax"/>
        </c:scaling>
        <c:delete val="0"/>
        <c:axPos val="r"/>
        <c:numFmt formatCode="_(&quot;$&quot;* #,##0_);_(&quot;$&quot;* \(#,##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47775"/>
        <c:crosses val="max"/>
        <c:crossBetween val="between"/>
      </c:valAx>
      <c:catAx>
        <c:axId val="599847775"/>
        <c:scaling>
          <c:orientation val="minMax"/>
        </c:scaling>
        <c:delete val="1"/>
        <c:axPos val="b"/>
        <c:numFmt formatCode="General" sourceLinked="1"/>
        <c:majorTickMark val="out"/>
        <c:minorTickMark val="none"/>
        <c:tickLblPos val="nextTo"/>
        <c:crossAx val="599850687"/>
        <c:crosses val="autoZero"/>
        <c:auto val="1"/>
        <c:lblAlgn val="ctr"/>
        <c:lblOffset val="100"/>
        <c:noMultiLvlLbl val="0"/>
      </c:catAx>
      <c:spPr>
        <a:noFill/>
        <a:ln>
          <a:noFill/>
        </a:ln>
        <a:effectLst/>
      </c:spPr>
    </c:plotArea>
    <c:legend>
      <c:legendPos val="b"/>
      <c:layout>
        <c:manualLayout>
          <c:xMode val="edge"/>
          <c:yMode val="edge"/>
          <c:x val="9.1090008255027555E-2"/>
          <c:y val="7.1538440853798735E-2"/>
          <c:w val="0.62350452705039772"/>
          <c:h val="6.7967975508556031E-2"/>
        </c:manualLayout>
      </c:layout>
      <c:overlay val="0"/>
      <c:spPr>
        <a:noFill/>
        <a:ln>
          <a:noFill/>
        </a:ln>
        <a:effectLst/>
      </c:spPr>
      <c:txPr>
        <a:bodyPr rot="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800">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0706023919624206E-2"/>
          <c:y val="4.2103511951279274E-2"/>
          <c:w val="0.86265283976717777"/>
          <c:h val="0.85809820516073931"/>
        </c:manualLayout>
      </c:layout>
      <c:barChart>
        <c:barDir val="col"/>
        <c:grouping val="clustered"/>
        <c:varyColors val="0"/>
        <c:ser>
          <c:idx val="0"/>
          <c:order val="0"/>
          <c:tx>
            <c:strRef>
              <c:f>'Unit Economies'!$J$27</c:f>
              <c:strCache>
                <c:ptCount val="1"/>
                <c:pt idx="0">
                  <c:v>Brazzein Sales Volume (MT)</c:v>
                </c:pt>
              </c:strCache>
            </c:strRef>
          </c:tx>
          <c:spPr>
            <a:solidFill>
              <a:schemeClr val="tx2">
                <a:lumMod val="50000"/>
              </a:schemeClr>
            </a:solidFill>
            <a:ln>
              <a:noFill/>
            </a:ln>
            <a:effectLst/>
          </c:spPr>
          <c:invertIfNegative val="0"/>
          <c:cat>
            <c:numRef>
              <c:f>'Unit Economies'!$L$26:$O$26</c:f>
              <c:numCache>
                <c:formatCode>General</c:formatCode>
                <c:ptCount val="4"/>
                <c:pt idx="0">
                  <c:v>2023</c:v>
                </c:pt>
                <c:pt idx="1">
                  <c:v>2024</c:v>
                </c:pt>
                <c:pt idx="2">
                  <c:v>2025</c:v>
                </c:pt>
                <c:pt idx="3">
                  <c:v>2026</c:v>
                </c:pt>
              </c:numCache>
            </c:numRef>
          </c:cat>
          <c:val>
            <c:numRef>
              <c:f>'Unit Economies'!$L$27:$O$27</c:f>
              <c:numCache>
                <c:formatCode>_(* #,##0.0_);_(* \(#,##0.0\);_(* "-"??_);_(@_)</c:formatCode>
                <c:ptCount val="4"/>
                <c:pt idx="0">
                  <c:v>0</c:v>
                </c:pt>
                <c:pt idx="1">
                  <c:v>0</c:v>
                </c:pt>
                <c:pt idx="2">
                  <c:v>0.58493150684931505</c:v>
                </c:pt>
                <c:pt idx="3">
                  <c:v>3.5671232876712331</c:v>
                </c:pt>
              </c:numCache>
            </c:numRef>
          </c:val>
          <c:extLst>
            <c:ext xmlns:c16="http://schemas.microsoft.com/office/drawing/2014/chart" uri="{C3380CC4-5D6E-409C-BE32-E72D297353CC}">
              <c16:uniqueId val="{00000000-4638-454B-88C1-AC6E2F7C313E}"/>
            </c:ext>
          </c:extLst>
        </c:ser>
        <c:dLbls>
          <c:showLegendKey val="0"/>
          <c:showVal val="0"/>
          <c:showCatName val="0"/>
          <c:showSerName val="0"/>
          <c:showPercent val="0"/>
          <c:showBubbleSize val="0"/>
        </c:dLbls>
        <c:gapWidth val="40"/>
        <c:axId val="196995599"/>
        <c:axId val="196987695"/>
      </c:barChart>
      <c:lineChart>
        <c:grouping val="standard"/>
        <c:varyColors val="0"/>
        <c:ser>
          <c:idx val="1"/>
          <c:order val="1"/>
          <c:tx>
            <c:strRef>
              <c:f>'Unit Economies'!$J$28</c:f>
              <c:strCache>
                <c:ptCount val="1"/>
                <c:pt idx="0">
                  <c:v>Rev per Kg</c:v>
                </c:pt>
              </c:strCache>
            </c:strRef>
          </c:tx>
          <c:spPr>
            <a:ln w="28575" cap="rnd">
              <a:solidFill>
                <a:schemeClr val="accent2"/>
              </a:solidFill>
              <a:round/>
            </a:ln>
            <a:effectLst/>
          </c:spPr>
          <c:marker>
            <c:symbol val="none"/>
          </c:marker>
          <c:cat>
            <c:numRef>
              <c:f>'Unit Economies'!$L$26:$O$26</c:f>
              <c:numCache>
                <c:formatCode>General</c:formatCode>
                <c:ptCount val="4"/>
                <c:pt idx="0">
                  <c:v>2023</c:v>
                </c:pt>
                <c:pt idx="1">
                  <c:v>2024</c:v>
                </c:pt>
                <c:pt idx="2">
                  <c:v>2025</c:v>
                </c:pt>
                <c:pt idx="3">
                  <c:v>2026</c:v>
                </c:pt>
              </c:numCache>
            </c:numRef>
          </c:cat>
          <c:val>
            <c:numRef>
              <c:f>'Unit Economies'!$L$28:$O$28</c:f>
              <c:numCache>
                <c:formatCode>_("$"* #,##0.0_);_("$"* \(#,##0.0\);_("$"* "-"??_);_(@_)</c:formatCode>
                <c:ptCount val="4"/>
                <c:pt idx="0">
                  <c:v>0</c:v>
                </c:pt>
                <c:pt idx="1">
                  <c:v>0</c:v>
                </c:pt>
                <c:pt idx="2">
                  <c:v>500</c:v>
                </c:pt>
                <c:pt idx="3">
                  <c:v>500</c:v>
                </c:pt>
              </c:numCache>
            </c:numRef>
          </c:val>
          <c:smooth val="0"/>
          <c:extLst>
            <c:ext xmlns:c16="http://schemas.microsoft.com/office/drawing/2014/chart" uri="{C3380CC4-5D6E-409C-BE32-E72D297353CC}">
              <c16:uniqueId val="{00000001-4638-454B-88C1-AC6E2F7C313E}"/>
            </c:ext>
          </c:extLst>
        </c:ser>
        <c:ser>
          <c:idx val="2"/>
          <c:order val="2"/>
          <c:tx>
            <c:strRef>
              <c:f>'Unit Economies'!$J$29</c:f>
              <c:strCache>
                <c:ptCount val="1"/>
                <c:pt idx="0">
                  <c:v>Cost per Kg</c:v>
                </c:pt>
              </c:strCache>
            </c:strRef>
          </c:tx>
          <c:spPr>
            <a:ln w="28575" cap="rnd">
              <a:solidFill>
                <a:srgbClr val="DA828A"/>
              </a:solidFill>
              <a:round/>
            </a:ln>
            <a:effectLst/>
          </c:spPr>
          <c:marker>
            <c:symbol val="none"/>
          </c:marker>
          <c:cat>
            <c:numRef>
              <c:f>'Unit Economies'!$L$26:$O$26</c:f>
              <c:numCache>
                <c:formatCode>General</c:formatCode>
                <c:ptCount val="4"/>
                <c:pt idx="0">
                  <c:v>2023</c:v>
                </c:pt>
                <c:pt idx="1">
                  <c:v>2024</c:v>
                </c:pt>
                <c:pt idx="2">
                  <c:v>2025</c:v>
                </c:pt>
                <c:pt idx="3">
                  <c:v>2026</c:v>
                </c:pt>
              </c:numCache>
            </c:numRef>
          </c:cat>
          <c:val>
            <c:numRef>
              <c:f>'Unit Economies'!$L$29:$O$29</c:f>
              <c:numCache>
                <c:formatCode>_("$"* #,##0.0_);_("$"* \(#,##0.0\);_("$"* "-"??_);_(@_)</c:formatCode>
                <c:ptCount val="4"/>
                <c:pt idx="0">
                  <c:v>0</c:v>
                </c:pt>
                <c:pt idx="1">
                  <c:v>0</c:v>
                </c:pt>
                <c:pt idx="2">
                  <c:v>500</c:v>
                </c:pt>
                <c:pt idx="3">
                  <c:v>400</c:v>
                </c:pt>
              </c:numCache>
            </c:numRef>
          </c:val>
          <c:smooth val="0"/>
          <c:extLst>
            <c:ext xmlns:c16="http://schemas.microsoft.com/office/drawing/2014/chart" uri="{C3380CC4-5D6E-409C-BE32-E72D297353CC}">
              <c16:uniqueId val="{00000002-4638-454B-88C1-AC6E2F7C313E}"/>
            </c:ext>
          </c:extLst>
        </c:ser>
        <c:dLbls>
          <c:showLegendKey val="0"/>
          <c:showVal val="0"/>
          <c:showCatName val="0"/>
          <c:showSerName val="0"/>
          <c:showPercent val="0"/>
          <c:showBubbleSize val="0"/>
        </c:dLbls>
        <c:marker val="1"/>
        <c:smooth val="0"/>
        <c:axId val="196988527"/>
        <c:axId val="196989775"/>
      </c:lineChart>
      <c:catAx>
        <c:axId val="1969955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96987695"/>
        <c:crosses val="autoZero"/>
        <c:auto val="1"/>
        <c:lblAlgn val="ctr"/>
        <c:lblOffset val="100"/>
        <c:noMultiLvlLbl val="0"/>
      </c:catAx>
      <c:valAx>
        <c:axId val="196987695"/>
        <c:scaling>
          <c:orientation val="minMax"/>
        </c:scaling>
        <c:delete val="0"/>
        <c:axPos val="l"/>
        <c:majorGridlines>
          <c:spPr>
            <a:ln w="3175" cap="flat" cmpd="sng" algn="ctr">
              <a:solidFill>
                <a:schemeClr val="tx1">
                  <a:lumMod val="15000"/>
                  <a:lumOff val="85000"/>
                </a:schemeClr>
              </a:solidFill>
              <a:round/>
            </a:ln>
            <a:effectLst/>
          </c:spPr>
        </c:majorGridlines>
        <c:numFmt formatCode="_(* #,##0.0_);_(* \(#,##0.0\);_(* &quot;-&quot;??_);_(@_)"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96995599"/>
        <c:crosses val="autoZero"/>
        <c:crossBetween val="between"/>
      </c:valAx>
      <c:valAx>
        <c:axId val="196989775"/>
        <c:scaling>
          <c:orientation val="minMax"/>
          <c:max val="700"/>
          <c:min val="100"/>
        </c:scaling>
        <c:delete val="0"/>
        <c:axPos val="r"/>
        <c:numFmt formatCode="_(&quot;$&quot;* #,##0_);_(&quot;$&quot;* \(#,##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96988527"/>
        <c:crosses val="max"/>
        <c:crossBetween val="between"/>
      </c:valAx>
      <c:catAx>
        <c:axId val="196988527"/>
        <c:scaling>
          <c:orientation val="minMax"/>
        </c:scaling>
        <c:delete val="1"/>
        <c:axPos val="b"/>
        <c:numFmt formatCode="General" sourceLinked="1"/>
        <c:majorTickMark val="out"/>
        <c:minorTickMark val="none"/>
        <c:tickLblPos val="nextTo"/>
        <c:crossAx val="196989775"/>
        <c:crosses val="autoZero"/>
        <c:auto val="1"/>
        <c:lblAlgn val="ctr"/>
        <c:lblOffset val="100"/>
        <c:noMultiLvlLbl val="0"/>
      </c:catAx>
      <c:spPr>
        <a:noFill/>
        <a:ln>
          <a:noFill/>
        </a:ln>
        <a:effectLst/>
      </c:spPr>
    </c:plotArea>
    <c:legend>
      <c:legendPos val="b"/>
      <c:layout>
        <c:manualLayout>
          <c:xMode val="edge"/>
          <c:yMode val="edge"/>
          <c:x val="5.5767429677151599E-2"/>
          <c:y val="5.1235182020082502E-2"/>
          <c:w val="0.59733031424911021"/>
          <c:h val="6.3930008312094194E-2"/>
        </c:manualLayout>
      </c:layout>
      <c:overlay val="0"/>
      <c:spPr>
        <a:noFill/>
        <a:ln>
          <a:noFill/>
        </a:ln>
        <a:effectLst/>
      </c:spPr>
      <c:txPr>
        <a:bodyPr rot="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800">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0706023919624206E-2"/>
          <c:y val="4.2103511951279274E-2"/>
          <c:w val="0.86265283976717777"/>
          <c:h val="0.85809820516073931"/>
        </c:manualLayout>
      </c:layout>
      <c:barChart>
        <c:barDir val="col"/>
        <c:grouping val="clustered"/>
        <c:varyColors val="0"/>
        <c:ser>
          <c:idx val="0"/>
          <c:order val="0"/>
          <c:tx>
            <c:strRef>
              <c:f>'Unit Economies'!$R$27</c:f>
              <c:strCache>
                <c:ptCount val="1"/>
                <c:pt idx="0">
                  <c:v>LAA Sales Volume (MT)</c:v>
                </c:pt>
              </c:strCache>
            </c:strRef>
          </c:tx>
          <c:spPr>
            <a:solidFill>
              <a:schemeClr val="tx2">
                <a:lumMod val="50000"/>
              </a:schemeClr>
            </a:solidFill>
            <a:ln>
              <a:noFill/>
            </a:ln>
            <a:effectLst/>
          </c:spPr>
          <c:invertIfNegative val="0"/>
          <c:cat>
            <c:numRef>
              <c:f>'Unit Economies'!$T$26:$W$26</c:f>
              <c:numCache>
                <c:formatCode>General</c:formatCode>
                <c:ptCount val="4"/>
                <c:pt idx="0">
                  <c:v>2023</c:v>
                </c:pt>
                <c:pt idx="1">
                  <c:v>2024</c:v>
                </c:pt>
                <c:pt idx="2">
                  <c:v>2025</c:v>
                </c:pt>
                <c:pt idx="3">
                  <c:v>2026</c:v>
                </c:pt>
              </c:numCache>
            </c:numRef>
          </c:cat>
          <c:val>
            <c:numRef>
              <c:f>'Unit Economies'!$T$27:$W$27</c:f>
              <c:numCache>
                <c:formatCode>_(* #,##0.0_);_(* \(#,##0.0\);_(* "-"??_);_(@_)</c:formatCode>
                <c:ptCount val="4"/>
                <c:pt idx="0">
                  <c:v>0</c:v>
                </c:pt>
                <c:pt idx="1">
                  <c:v>0</c:v>
                </c:pt>
                <c:pt idx="2">
                  <c:v>0</c:v>
                </c:pt>
                <c:pt idx="3">
                  <c:v>0</c:v>
                </c:pt>
              </c:numCache>
            </c:numRef>
          </c:val>
          <c:extLst>
            <c:ext xmlns:c16="http://schemas.microsoft.com/office/drawing/2014/chart" uri="{C3380CC4-5D6E-409C-BE32-E72D297353CC}">
              <c16:uniqueId val="{00000000-0254-4662-92AF-27AE27C30563}"/>
            </c:ext>
          </c:extLst>
        </c:ser>
        <c:dLbls>
          <c:showLegendKey val="0"/>
          <c:showVal val="0"/>
          <c:showCatName val="0"/>
          <c:showSerName val="0"/>
          <c:showPercent val="0"/>
          <c:showBubbleSize val="0"/>
        </c:dLbls>
        <c:gapWidth val="40"/>
        <c:axId val="196995599"/>
        <c:axId val="196987695"/>
      </c:barChart>
      <c:lineChart>
        <c:grouping val="standard"/>
        <c:varyColors val="0"/>
        <c:ser>
          <c:idx val="1"/>
          <c:order val="1"/>
          <c:tx>
            <c:strRef>
              <c:f>'Unit Economies'!$R$28</c:f>
              <c:strCache>
                <c:ptCount val="1"/>
                <c:pt idx="0">
                  <c:v>Rev per Kg</c:v>
                </c:pt>
              </c:strCache>
            </c:strRef>
          </c:tx>
          <c:spPr>
            <a:ln w="28575" cap="rnd">
              <a:solidFill>
                <a:schemeClr val="accent2"/>
              </a:solidFill>
              <a:round/>
            </a:ln>
            <a:effectLst/>
          </c:spPr>
          <c:marker>
            <c:symbol val="none"/>
          </c:marker>
          <c:cat>
            <c:numRef>
              <c:f>'Unit Economies'!$T$26:$W$26</c:f>
              <c:numCache>
                <c:formatCode>General</c:formatCode>
                <c:ptCount val="4"/>
                <c:pt idx="0">
                  <c:v>2023</c:v>
                </c:pt>
                <c:pt idx="1">
                  <c:v>2024</c:v>
                </c:pt>
                <c:pt idx="2">
                  <c:v>2025</c:v>
                </c:pt>
                <c:pt idx="3">
                  <c:v>2026</c:v>
                </c:pt>
              </c:numCache>
            </c:numRef>
          </c:cat>
          <c:val>
            <c:numRef>
              <c:f>'Unit Economies'!$T$28:$W$28</c:f>
              <c:numCache>
                <c:formatCode>_("$"* #,##0.0_);_("$"* \(#,##0.0\);_("$"* "-"??_);_(@_)</c:formatCode>
                <c:ptCount val="4"/>
                <c:pt idx="0">
                  <c:v>0</c:v>
                </c:pt>
                <c:pt idx="1">
                  <c:v>0</c:v>
                </c:pt>
                <c:pt idx="2">
                  <c:v>0</c:v>
                </c:pt>
                <c:pt idx="3">
                  <c:v>0</c:v>
                </c:pt>
              </c:numCache>
            </c:numRef>
          </c:val>
          <c:smooth val="0"/>
          <c:extLst>
            <c:ext xmlns:c16="http://schemas.microsoft.com/office/drawing/2014/chart" uri="{C3380CC4-5D6E-409C-BE32-E72D297353CC}">
              <c16:uniqueId val="{00000001-0254-4662-92AF-27AE27C30563}"/>
            </c:ext>
          </c:extLst>
        </c:ser>
        <c:ser>
          <c:idx val="2"/>
          <c:order val="2"/>
          <c:tx>
            <c:strRef>
              <c:f>'Unit Economies'!$R$29</c:f>
              <c:strCache>
                <c:ptCount val="1"/>
                <c:pt idx="0">
                  <c:v>Cost per Kg</c:v>
                </c:pt>
              </c:strCache>
            </c:strRef>
          </c:tx>
          <c:spPr>
            <a:ln w="28575" cap="rnd">
              <a:solidFill>
                <a:srgbClr val="DA828A"/>
              </a:solidFill>
              <a:round/>
            </a:ln>
            <a:effectLst/>
          </c:spPr>
          <c:marker>
            <c:symbol val="none"/>
          </c:marker>
          <c:cat>
            <c:numRef>
              <c:f>'Unit Economies'!$T$26:$W$26</c:f>
              <c:numCache>
                <c:formatCode>General</c:formatCode>
                <c:ptCount val="4"/>
                <c:pt idx="0">
                  <c:v>2023</c:v>
                </c:pt>
                <c:pt idx="1">
                  <c:v>2024</c:v>
                </c:pt>
                <c:pt idx="2">
                  <c:v>2025</c:v>
                </c:pt>
                <c:pt idx="3">
                  <c:v>2026</c:v>
                </c:pt>
              </c:numCache>
            </c:numRef>
          </c:cat>
          <c:val>
            <c:numRef>
              <c:f>'Unit Economies'!$T$29:$W$29</c:f>
              <c:numCache>
                <c:formatCode>_("$"* #,##0.0_);_("$"* \(#,##0.0\);_("$"* "-"??_);_(@_)</c:formatCode>
                <c:ptCount val="4"/>
                <c:pt idx="0">
                  <c:v>0</c:v>
                </c:pt>
                <c:pt idx="1">
                  <c:v>0</c:v>
                </c:pt>
                <c:pt idx="2">
                  <c:v>0</c:v>
                </c:pt>
                <c:pt idx="3">
                  <c:v>0</c:v>
                </c:pt>
              </c:numCache>
            </c:numRef>
          </c:val>
          <c:smooth val="0"/>
          <c:extLst>
            <c:ext xmlns:c16="http://schemas.microsoft.com/office/drawing/2014/chart" uri="{C3380CC4-5D6E-409C-BE32-E72D297353CC}">
              <c16:uniqueId val="{00000002-0254-4662-92AF-27AE27C30563}"/>
            </c:ext>
          </c:extLst>
        </c:ser>
        <c:dLbls>
          <c:showLegendKey val="0"/>
          <c:showVal val="0"/>
          <c:showCatName val="0"/>
          <c:showSerName val="0"/>
          <c:showPercent val="0"/>
          <c:showBubbleSize val="0"/>
        </c:dLbls>
        <c:marker val="1"/>
        <c:smooth val="0"/>
        <c:axId val="196988527"/>
        <c:axId val="196989775"/>
      </c:lineChart>
      <c:catAx>
        <c:axId val="1969955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96987695"/>
        <c:crosses val="autoZero"/>
        <c:auto val="1"/>
        <c:lblAlgn val="ctr"/>
        <c:lblOffset val="100"/>
        <c:noMultiLvlLbl val="0"/>
      </c:catAx>
      <c:valAx>
        <c:axId val="196987695"/>
        <c:scaling>
          <c:orientation val="minMax"/>
        </c:scaling>
        <c:delete val="0"/>
        <c:axPos val="l"/>
        <c:majorGridlines>
          <c:spPr>
            <a:ln w="3175" cap="flat" cmpd="sng" algn="ctr">
              <a:solidFill>
                <a:schemeClr val="tx1">
                  <a:lumMod val="15000"/>
                  <a:lumOff val="85000"/>
                </a:schemeClr>
              </a:solidFill>
              <a:round/>
            </a:ln>
            <a:effectLst/>
          </c:spPr>
        </c:majorGridlines>
        <c:numFmt formatCode="_(* #,##0.0_);_(* \(#,##0.0\);_(* &quot;-&quot;??_);_(@_)"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96995599"/>
        <c:crosses val="autoZero"/>
        <c:crossBetween val="between"/>
      </c:valAx>
      <c:valAx>
        <c:axId val="196989775"/>
        <c:scaling>
          <c:orientation val="minMax"/>
          <c:max val="200"/>
        </c:scaling>
        <c:delete val="0"/>
        <c:axPos val="r"/>
        <c:numFmt formatCode="_(&quot;$&quot;* #,##0_);_(&quot;$&quot;* \(#,##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96988527"/>
        <c:crosses val="max"/>
        <c:crossBetween val="between"/>
      </c:valAx>
      <c:catAx>
        <c:axId val="196988527"/>
        <c:scaling>
          <c:orientation val="minMax"/>
        </c:scaling>
        <c:delete val="1"/>
        <c:axPos val="b"/>
        <c:numFmt formatCode="General" sourceLinked="1"/>
        <c:majorTickMark val="out"/>
        <c:minorTickMark val="none"/>
        <c:tickLblPos val="nextTo"/>
        <c:crossAx val="196989775"/>
        <c:crosses val="autoZero"/>
        <c:auto val="1"/>
        <c:lblAlgn val="ctr"/>
        <c:lblOffset val="100"/>
        <c:noMultiLvlLbl val="0"/>
      </c:catAx>
      <c:spPr>
        <a:noFill/>
        <a:ln>
          <a:noFill/>
        </a:ln>
        <a:effectLst/>
      </c:spPr>
    </c:plotArea>
    <c:legend>
      <c:legendPos val="b"/>
      <c:layout>
        <c:manualLayout>
          <c:xMode val="edge"/>
          <c:yMode val="edge"/>
          <c:x val="5.5767429677151599E-2"/>
          <c:y val="5.1235182020082502E-2"/>
          <c:w val="0.59733031424911021"/>
          <c:h val="6.3930008312094194E-2"/>
        </c:manualLayout>
      </c:layout>
      <c:overlay val="0"/>
      <c:spPr>
        <a:noFill/>
        <a:ln>
          <a:noFill/>
        </a:ln>
        <a:effectLst/>
      </c:spPr>
      <c:txPr>
        <a:bodyPr rot="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800">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2651488331400439E-2"/>
          <c:y val="6.5269066370033477E-2"/>
          <c:w val="0.84376178559075465"/>
          <c:h val="0.81173370100064379"/>
        </c:manualLayout>
      </c:layout>
      <c:barChart>
        <c:barDir val="col"/>
        <c:grouping val="clustered"/>
        <c:varyColors val="0"/>
        <c:ser>
          <c:idx val="0"/>
          <c:order val="0"/>
          <c:tx>
            <c:strRef>
              <c:f>'Unit Economies'!$B$57</c:f>
              <c:strCache>
                <c:ptCount val="1"/>
                <c:pt idx="0">
                  <c:v>Masar Lovo Sales Volume (MT)</c:v>
                </c:pt>
              </c:strCache>
            </c:strRef>
          </c:tx>
          <c:spPr>
            <a:solidFill>
              <a:schemeClr val="accent1"/>
            </a:solidFill>
            <a:ln>
              <a:noFill/>
            </a:ln>
            <a:effectLst/>
          </c:spPr>
          <c:invertIfNegative val="0"/>
          <c:cat>
            <c:numRef>
              <c:f>'Unit Economies'!$C$56:$G$56</c:f>
              <c:numCache>
                <c:formatCode>General</c:formatCode>
                <c:ptCount val="5"/>
                <c:pt idx="0">
                  <c:v>0</c:v>
                </c:pt>
                <c:pt idx="1">
                  <c:v>2023</c:v>
                </c:pt>
                <c:pt idx="2">
                  <c:v>2024</c:v>
                </c:pt>
                <c:pt idx="3">
                  <c:v>2025</c:v>
                </c:pt>
                <c:pt idx="4">
                  <c:v>2026</c:v>
                </c:pt>
              </c:numCache>
            </c:numRef>
          </c:cat>
          <c:val>
            <c:numRef>
              <c:f>'Unit Economies'!$D$57:$G$57</c:f>
              <c:numCache>
                <c:formatCode>_(* #,##0_);_(* \(#,##0\);_(* "-"??_);_(@_)</c:formatCode>
                <c:ptCount val="4"/>
                <c:pt idx="0">
                  <c:v>196</c:v>
                </c:pt>
                <c:pt idx="1">
                  <c:v>199.92000000000002</c:v>
                </c:pt>
                <c:pt idx="2">
                  <c:v>203.91840000000002</c:v>
                </c:pt>
                <c:pt idx="3">
                  <c:v>207.99676800000003</c:v>
                </c:pt>
              </c:numCache>
            </c:numRef>
          </c:val>
          <c:extLst>
            <c:ext xmlns:c16="http://schemas.microsoft.com/office/drawing/2014/chart" uri="{C3380CC4-5D6E-409C-BE32-E72D297353CC}">
              <c16:uniqueId val="{00000000-040E-418C-838D-88D881BDECE9}"/>
            </c:ext>
          </c:extLst>
        </c:ser>
        <c:dLbls>
          <c:showLegendKey val="0"/>
          <c:showVal val="0"/>
          <c:showCatName val="0"/>
          <c:showSerName val="0"/>
          <c:showPercent val="0"/>
          <c:showBubbleSize val="0"/>
        </c:dLbls>
        <c:gapWidth val="40"/>
        <c:overlap val="-27"/>
        <c:axId val="599814911"/>
        <c:axId val="599813247"/>
      </c:barChart>
      <c:lineChart>
        <c:grouping val="standard"/>
        <c:varyColors val="0"/>
        <c:ser>
          <c:idx val="2"/>
          <c:order val="1"/>
          <c:tx>
            <c:strRef>
              <c:f>'Unit Economies'!$B$58</c:f>
              <c:strCache>
                <c:ptCount val="1"/>
                <c:pt idx="0">
                  <c:v>Rev per Kg</c:v>
                </c:pt>
              </c:strCache>
            </c:strRef>
          </c:tx>
          <c:spPr>
            <a:ln w="28575" cap="rnd">
              <a:solidFill>
                <a:schemeClr val="accent3"/>
              </a:solidFill>
              <a:round/>
            </a:ln>
            <a:effectLst/>
          </c:spPr>
          <c:marker>
            <c:symbol val="none"/>
          </c:marker>
          <c:cat>
            <c:numRef>
              <c:f>'Unit Economies'!$D$56:$G$56</c:f>
              <c:numCache>
                <c:formatCode>General</c:formatCode>
                <c:ptCount val="4"/>
                <c:pt idx="0">
                  <c:v>2023</c:v>
                </c:pt>
                <c:pt idx="1">
                  <c:v>2024</c:v>
                </c:pt>
                <c:pt idx="2">
                  <c:v>2025</c:v>
                </c:pt>
                <c:pt idx="3">
                  <c:v>2026</c:v>
                </c:pt>
              </c:numCache>
            </c:numRef>
          </c:cat>
          <c:val>
            <c:numRef>
              <c:f>'Unit Economies'!$D$58:$G$58</c:f>
              <c:numCache>
                <c:formatCode>_("$"* #,##0.0_);_("$"* \(#,##0.0\);_("$"* "-"??_);_(@_)</c:formatCode>
                <c:ptCount val="4"/>
                <c:pt idx="0">
                  <c:v>45.918367346938773</c:v>
                </c:pt>
                <c:pt idx="1">
                  <c:v>45.918367346938773</c:v>
                </c:pt>
                <c:pt idx="2">
                  <c:v>45.918367346938773</c:v>
                </c:pt>
                <c:pt idx="3">
                  <c:v>45.918367346938773</c:v>
                </c:pt>
              </c:numCache>
            </c:numRef>
          </c:val>
          <c:smooth val="0"/>
          <c:extLst>
            <c:ext xmlns:c16="http://schemas.microsoft.com/office/drawing/2014/chart" uri="{C3380CC4-5D6E-409C-BE32-E72D297353CC}">
              <c16:uniqueId val="{00000001-040E-418C-838D-88D881BDECE9}"/>
            </c:ext>
          </c:extLst>
        </c:ser>
        <c:ser>
          <c:idx val="1"/>
          <c:order val="2"/>
          <c:tx>
            <c:strRef>
              <c:f>'Unit Economies'!$B$59</c:f>
              <c:strCache>
                <c:ptCount val="1"/>
                <c:pt idx="0">
                  <c:v>Cost per Kg</c:v>
                </c:pt>
              </c:strCache>
            </c:strRef>
          </c:tx>
          <c:spPr>
            <a:ln w="28575" cap="rnd">
              <a:solidFill>
                <a:schemeClr val="accent2"/>
              </a:solidFill>
              <a:round/>
            </a:ln>
            <a:effectLst/>
          </c:spPr>
          <c:marker>
            <c:symbol val="none"/>
          </c:marker>
          <c:cat>
            <c:numRef>
              <c:f>'Unit Economies'!$D$56:$G$56</c:f>
              <c:numCache>
                <c:formatCode>General</c:formatCode>
                <c:ptCount val="4"/>
                <c:pt idx="0">
                  <c:v>2023</c:v>
                </c:pt>
                <c:pt idx="1">
                  <c:v>2024</c:v>
                </c:pt>
                <c:pt idx="2">
                  <c:v>2025</c:v>
                </c:pt>
                <c:pt idx="3">
                  <c:v>2026</c:v>
                </c:pt>
              </c:numCache>
            </c:numRef>
          </c:cat>
          <c:val>
            <c:numRef>
              <c:f>'Unit Economies'!$D$59:$G$59</c:f>
              <c:numCache>
                <c:formatCode>_("$"* #,##0.0_);_("$"* \(#,##0.0\);_("$"* "-"??_);_(@_)</c:formatCode>
                <c:ptCount val="4"/>
                <c:pt idx="0">
                  <c:v>29.85</c:v>
                </c:pt>
                <c:pt idx="1">
                  <c:v>29.85</c:v>
                </c:pt>
                <c:pt idx="2">
                  <c:v>29.85</c:v>
                </c:pt>
                <c:pt idx="3">
                  <c:v>29.85</c:v>
                </c:pt>
              </c:numCache>
            </c:numRef>
          </c:val>
          <c:smooth val="0"/>
          <c:extLst>
            <c:ext xmlns:c16="http://schemas.microsoft.com/office/drawing/2014/chart" uri="{C3380CC4-5D6E-409C-BE32-E72D297353CC}">
              <c16:uniqueId val="{00000002-040E-418C-838D-88D881BDECE9}"/>
            </c:ext>
          </c:extLst>
        </c:ser>
        <c:dLbls>
          <c:showLegendKey val="0"/>
          <c:showVal val="0"/>
          <c:showCatName val="0"/>
          <c:showSerName val="0"/>
          <c:showPercent val="0"/>
          <c:showBubbleSize val="0"/>
        </c:dLbls>
        <c:marker val="1"/>
        <c:smooth val="0"/>
        <c:axId val="599847775"/>
        <c:axId val="599850687"/>
      </c:lineChart>
      <c:catAx>
        <c:axId val="5998149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3247"/>
        <c:crosses val="autoZero"/>
        <c:auto val="1"/>
        <c:lblAlgn val="ctr"/>
        <c:lblOffset val="100"/>
        <c:noMultiLvlLbl val="0"/>
      </c:catAx>
      <c:valAx>
        <c:axId val="599813247"/>
        <c:scaling>
          <c:orientation val="minMax"/>
          <c:max val="350"/>
        </c:scaling>
        <c:delete val="0"/>
        <c:axPos val="l"/>
        <c:majorGridlines>
          <c:spPr>
            <a:ln w="317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4911"/>
        <c:crosses val="autoZero"/>
        <c:crossBetween val="between"/>
      </c:valAx>
      <c:valAx>
        <c:axId val="599850687"/>
        <c:scaling>
          <c:orientation val="minMax"/>
          <c:max val="50"/>
        </c:scaling>
        <c:delete val="0"/>
        <c:axPos val="r"/>
        <c:numFmt formatCode="_(&quot;$&quot;* #,##0_);_(&quot;$&quot;* \(#,##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47775"/>
        <c:crosses val="max"/>
        <c:crossBetween val="between"/>
      </c:valAx>
      <c:catAx>
        <c:axId val="599847775"/>
        <c:scaling>
          <c:orientation val="minMax"/>
        </c:scaling>
        <c:delete val="1"/>
        <c:axPos val="b"/>
        <c:numFmt formatCode="General" sourceLinked="1"/>
        <c:majorTickMark val="out"/>
        <c:minorTickMark val="none"/>
        <c:tickLblPos val="nextTo"/>
        <c:crossAx val="599850687"/>
        <c:crosses val="autoZero"/>
        <c:auto val="1"/>
        <c:lblAlgn val="ctr"/>
        <c:lblOffset val="100"/>
        <c:noMultiLvlLbl val="0"/>
      </c:catAx>
      <c:spPr>
        <a:noFill/>
        <a:ln>
          <a:noFill/>
        </a:ln>
        <a:effectLst/>
      </c:spPr>
    </c:plotArea>
    <c:legend>
      <c:legendPos val="b"/>
      <c:layout>
        <c:manualLayout>
          <c:xMode val="edge"/>
          <c:yMode val="edge"/>
          <c:x val="9.1090008255027555E-2"/>
          <c:y val="7.1538440853798735E-2"/>
          <c:w val="0.62350452705039772"/>
          <c:h val="6.7967975508556031E-2"/>
        </c:manualLayout>
      </c:layout>
      <c:overlay val="0"/>
      <c:spPr>
        <a:noFill/>
        <a:ln>
          <a:noFill/>
        </a:ln>
        <a:effectLst/>
      </c:spPr>
      <c:txPr>
        <a:bodyPr rot="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800">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2651488331400439E-2"/>
          <c:y val="6.5269066370033477E-2"/>
          <c:w val="0.84376178559075465"/>
          <c:h val="0.81173370100064379"/>
        </c:manualLayout>
      </c:layout>
      <c:barChart>
        <c:barDir val="col"/>
        <c:grouping val="clustered"/>
        <c:varyColors val="0"/>
        <c:ser>
          <c:idx val="0"/>
          <c:order val="0"/>
          <c:tx>
            <c:strRef>
              <c:f>'Unit Economies'!$J$57</c:f>
              <c:strCache>
                <c:ptCount val="1"/>
                <c:pt idx="0">
                  <c:v>Gelatin (India) Sales Volume (MT)</c:v>
                </c:pt>
              </c:strCache>
            </c:strRef>
          </c:tx>
          <c:spPr>
            <a:solidFill>
              <a:schemeClr val="accent1"/>
            </a:solidFill>
            <a:ln>
              <a:noFill/>
            </a:ln>
            <a:effectLst/>
          </c:spPr>
          <c:invertIfNegative val="0"/>
          <c:cat>
            <c:numRef>
              <c:f>'Unit Economies'!$K$56:$O$56</c:f>
              <c:numCache>
                <c:formatCode>General</c:formatCode>
                <c:ptCount val="5"/>
                <c:pt idx="0">
                  <c:v>0</c:v>
                </c:pt>
                <c:pt idx="1">
                  <c:v>2023</c:v>
                </c:pt>
                <c:pt idx="2">
                  <c:v>2024</c:v>
                </c:pt>
                <c:pt idx="3">
                  <c:v>2025</c:v>
                </c:pt>
                <c:pt idx="4">
                  <c:v>2026</c:v>
                </c:pt>
              </c:numCache>
            </c:numRef>
          </c:cat>
          <c:val>
            <c:numRef>
              <c:f>'Unit Economies'!$L$57:$O$57</c:f>
              <c:numCache>
                <c:formatCode>_(* #,##0_);_(* \(#,##0\);_(* "-"??_);_(@_)</c:formatCode>
                <c:ptCount val="4"/>
                <c:pt idx="0">
                  <c:v>3500</c:v>
                </c:pt>
                <c:pt idx="1">
                  <c:v>4375</c:v>
                </c:pt>
                <c:pt idx="2">
                  <c:v>4812.5</c:v>
                </c:pt>
                <c:pt idx="3">
                  <c:v>5293.75</c:v>
                </c:pt>
              </c:numCache>
            </c:numRef>
          </c:val>
          <c:extLst>
            <c:ext xmlns:c16="http://schemas.microsoft.com/office/drawing/2014/chart" uri="{C3380CC4-5D6E-409C-BE32-E72D297353CC}">
              <c16:uniqueId val="{00000000-56F8-4EE2-A09F-407CAC0F83E0}"/>
            </c:ext>
          </c:extLst>
        </c:ser>
        <c:dLbls>
          <c:showLegendKey val="0"/>
          <c:showVal val="0"/>
          <c:showCatName val="0"/>
          <c:showSerName val="0"/>
          <c:showPercent val="0"/>
          <c:showBubbleSize val="0"/>
        </c:dLbls>
        <c:gapWidth val="40"/>
        <c:overlap val="-27"/>
        <c:axId val="599814911"/>
        <c:axId val="599813247"/>
      </c:barChart>
      <c:lineChart>
        <c:grouping val="standard"/>
        <c:varyColors val="0"/>
        <c:ser>
          <c:idx val="2"/>
          <c:order val="1"/>
          <c:tx>
            <c:strRef>
              <c:f>'Unit Economies'!$J$58</c:f>
              <c:strCache>
                <c:ptCount val="1"/>
                <c:pt idx="0">
                  <c:v>Rev per Kg</c:v>
                </c:pt>
              </c:strCache>
            </c:strRef>
          </c:tx>
          <c:spPr>
            <a:ln w="28575" cap="rnd">
              <a:solidFill>
                <a:schemeClr val="accent3"/>
              </a:solidFill>
              <a:round/>
            </a:ln>
            <a:effectLst/>
          </c:spPr>
          <c:marker>
            <c:symbol val="none"/>
          </c:marker>
          <c:cat>
            <c:numRef>
              <c:f>'Unit Economies'!$L$56:$O$56</c:f>
              <c:numCache>
                <c:formatCode>General</c:formatCode>
                <c:ptCount val="4"/>
                <c:pt idx="0">
                  <c:v>2023</c:v>
                </c:pt>
                <c:pt idx="1">
                  <c:v>2024</c:v>
                </c:pt>
                <c:pt idx="2">
                  <c:v>2025</c:v>
                </c:pt>
                <c:pt idx="3">
                  <c:v>2026</c:v>
                </c:pt>
              </c:numCache>
            </c:numRef>
          </c:cat>
          <c:val>
            <c:numRef>
              <c:f>'Unit Economies'!$L$58:$O$58</c:f>
              <c:numCache>
                <c:formatCode>_("$"* #,##0.0_);_("$"* \(#,##0.0\);_("$"* "-"??_);_(@_)</c:formatCode>
                <c:ptCount val="4"/>
                <c:pt idx="0">
                  <c:v>7.9</c:v>
                </c:pt>
                <c:pt idx="1">
                  <c:v>7.9</c:v>
                </c:pt>
                <c:pt idx="2">
                  <c:v>7.9</c:v>
                </c:pt>
                <c:pt idx="3">
                  <c:v>7.9</c:v>
                </c:pt>
              </c:numCache>
            </c:numRef>
          </c:val>
          <c:smooth val="0"/>
          <c:extLst>
            <c:ext xmlns:c16="http://schemas.microsoft.com/office/drawing/2014/chart" uri="{C3380CC4-5D6E-409C-BE32-E72D297353CC}">
              <c16:uniqueId val="{00000001-56F8-4EE2-A09F-407CAC0F83E0}"/>
            </c:ext>
          </c:extLst>
        </c:ser>
        <c:ser>
          <c:idx val="1"/>
          <c:order val="2"/>
          <c:tx>
            <c:strRef>
              <c:f>'Unit Economies'!$J$59</c:f>
              <c:strCache>
                <c:ptCount val="1"/>
                <c:pt idx="0">
                  <c:v>Cost per Kg</c:v>
                </c:pt>
              </c:strCache>
            </c:strRef>
          </c:tx>
          <c:spPr>
            <a:ln w="28575" cap="rnd">
              <a:solidFill>
                <a:schemeClr val="accent2"/>
              </a:solidFill>
              <a:round/>
            </a:ln>
            <a:effectLst/>
          </c:spPr>
          <c:marker>
            <c:symbol val="none"/>
          </c:marker>
          <c:cat>
            <c:numRef>
              <c:f>'Unit Economies'!$L$56:$O$56</c:f>
              <c:numCache>
                <c:formatCode>General</c:formatCode>
                <c:ptCount val="4"/>
                <c:pt idx="0">
                  <c:v>2023</c:v>
                </c:pt>
                <c:pt idx="1">
                  <c:v>2024</c:v>
                </c:pt>
                <c:pt idx="2">
                  <c:v>2025</c:v>
                </c:pt>
                <c:pt idx="3">
                  <c:v>2026</c:v>
                </c:pt>
              </c:numCache>
            </c:numRef>
          </c:cat>
          <c:val>
            <c:numRef>
              <c:f>'Unit Economies'!$L$59:$O$59</c:f>
              <c:numCache>
                <c:formatCode>_("$"* #,##0.0_);_("$"* \(#,##0.0\);_("$"* "-"??_);_(@_)</c:formatCode>
                <c:ptCount val="4"/>
                <c:pt idx="0">
                  <c:v>5.14</c:v>
                </c:pt>
                <c:pt idx="1">
                  <c:v>5.14</c:v>
                </c:pt>
                <c:pt idx="2">
                  <c:v>5.14</c:v>
                </c:pt>
                <c:pt idx="3">
                  <c:v>5.14</c:v>
                </c:pt>
              </c:numCache>
            </c:numRef>
          </c:val>
          <c:smooth val="0"/>
          <c:extLst>
            <c:ext xmlns:c16="http://schemas.microsoft.com/office/drawing/2014/chart" uri="{C3380CC4-5D6E-409C-BE32-E72D297353CC}">
              <c16:uniqueId val="{00000002-56F8-4EE2-A09F-407CAC0F83E0}"/>
            </c:ext>
          </c:extLst>
        </c:ser>
        <c:dLbls>
          <c:showLegendKey val="0"/>
          <c:showVal val="0"/>
          <c:showCatName val="0"/>
          <c:showSerName val="0"/>
          <c:showPercent val="0"/>
          <c:showBubbleSize val="0"/>
        </c:dLbls>
        <c:marker val="1"/>
        <c:smooth val="0"/>
        <c:axId val="599847775"/>
        <c:axId val="599850687"/>
      </c:lineChart>
      <c:catAx>
        <c:axId val="5998149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3247"/>
        <c:crosses val="autoZero"/>
        <c:auto val="1"/>
        <c:lblAlgn val="ctr"/>
        <c:lblOffset val="100"/>
        <c:noMultiLvlLbl val="0"/>
      </c:catAx>
      <c:valAx>
        <c:axId val="599813247"/>
        <c:scaling>
          <c:orientation val="minMax"/>
        </c:scaling>
        <c:delete val="0"/>
        <c:axPos val="l"/>
        <c:majorGridlines>
          <c:spPr>
            <a:ln w="317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4911"/>
        <c:crosses val="autoZero"/>
        <c:crossBetween val="between"/>
      </c:valAx>
      <c:valAx>
        <c:axId val="599850687"/>
        <c:scaling>
          <c:orientation val="minMax"/>
          <c:max val="10"/>
        </c:scaling>
        <c:delete val="0"/>
        <c:axPos val="r"/>
        <c:numFmt formatCode="_(&quot;$&quot;* #,##0_);_(&quot;$&quot;* \(#,##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47775"/>
        <c:crosses val="max"/>
        <c:crossBetween val="between"/>
      </c:valAx>
      <c:catAx>
        <c:axId val="599847775"/>
        <c:scaling>
          <c:orientation val="minMax"/>
        </c:scaling>
        <c:delete val="1"/>
        <c:axPos val="b"/>
        <c:numFmt formatCode="General" sourceLinked="1"/>
        <c:majorTickMark val="out"/>
        <c:minorTickMark val="none"/>
        <c:tickLblPos val="nextTo"/>
        <c:crossAx val="599850687"/>
        <c:crosses val="autoZero"/>
        <c:auto val="1"/>
        <c:lblAlgn val="ctr"/>
        <c:lblOffset val="100"/>
        <c:noMultiLvlLbl val="0"/>
      </c:catAx>
      <c:spPr>
        <a:noFill/>
        <a:ln>
          <a:noFill/>
        </a:ln>
        <a:effectLst/>
      </c:spPr>
    </c:plotArea>
    <c:legend>
      <c:legendPos val="b"/>
      <c:layout>
        <c:manualLayout>
          <c:xMode val="edge"/>
          <c:yMode val="edge"/>
          <c:x val="9.1090008255027555E-2"/>
          <c:y val="7.1538440853798735E-2"/>
          <c:w val="0.62350452705039772"/>
          <c:h val="6.7967975508556031E-2"/>
        </c:manualLayout>
      </c:layout>
      <c:overlay val="0"/>
      <c:spPr>
        <a:noFill/>
        <a:ln>
          <a:noFill/>
        </a:ln>
        <a:effectLst/>
      </c:spPr>
      <c:txPr>
        <a:bodyPr rot="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800">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2651488331400439E-2"/>
          <c:y val="6.5269066370033477E-2"/>
          <c:w val="0.84376178559075465"/>
          <c:h val="0.81173370100064379"/>
        </c:manualLayout>
      </c:layout>
      <c:barChart>
        <c:barDir val="col"/>
        <c:grouping val="clustered"/>
        <c:varyColors val="0"/>
        <c:ser>
          <c:idx val="0"/>
          <c:order val="0"/>
          <c:tx>
            <c:strRef>
              <c:f>'Unit Economies'!$R$57</c:f>
              <c:strCache>
                <c:ptCount val="1"/>
                <c:pt idx="0">
                  <c:v>DCP (India) Sales Volume (MT)</c:v>
                </c:pt>
              </c:strCache>
            </c:strRef>
          </c:tx>
          <c:spPr>
            <a:solidFill>
              <a:schemeClr val="accent1"/>
            </a:solidFill>
            <a:ln>
              <a:noFill/>
            </a:ln>
            <a:effectLst/>
          </c:spPr>
          <c:invertIfNegative val="0"/>
          <c:cat>
            <c:numRef>
              <c:f>'Unit Economies'!$S$56:$W$56</c:f>
              <c:numCache>
                <c:formatCode>General</c:formatCode>
                <c:ptCount val="5"/>
                <c:pt idx="0">
                  <c:v>0</c:v>
                </c:pt>
                <c:pt idx="1">
                  <c:v>2023</c:v>
                </c:pt>
                <c:pt idx="2">
                  <c:v>2024</c:v>
                </c:pt>
                <c:pt idx="3">
                  <c:v>2025</c:v>
                </c:pt>
                <c:pt idx="4">
                  <c:v>2026</c:v>
                </c:pt>
              </c:numCache>
            </c:numRef>
          </c:cat>
          <c:val>
            <c:numRef>
              <c:f>'Unit Economies'!$T$57:$W$57</c:f>
              <c:numCache>
                <c:formatCode>_(* #,##0_);_(* \(#,##0\);_(* "-"??_);_(@_)</c:formatCode>
                <c:ptCount val="4"/>
                <c:pt idx="0">
                  <c:v>12480</c:v>
                </c:pt>
                <c:pt idx="1">
                  <c:v>15600</c:v>
                </c:pt>
                <c:pt idx="2">
                  <c:v>17160</c:v>
                </c:pt>
                <c:pt idx="3">
                  <c:v>18876</c:v>
                </c:pt>
              </c:numCache>
            </c:numRef>
          </c:val>
          <c:extLst>
            <c:ext xmlns:c16="http://schemas.microsoft.com/office/drawing/2014/chart" uri="{C3380CC4-5D6E-409C-BE32-E72D297353CC}">
              <c16:uniqueId val="{00000000-E608-4F65-93D8-186BFACF313D}"/>
            </c:ext>
          </c:extLst>
        </c:ser>
        <c:dLbls>
          <c:showLegendKey val="0"/>
          <c:showVal val="0"/>
          <c:showCatName val="0"/>
          <c:showSerName val="0"/>
          <c:showPercent val="0"/>
          <c:showBubbleSize val="0"/>
        </c:dLbls>
        <c:gapWidth val="40"/>
        <c:overlap val="-27"/>
        <c:axId val="599814911"/>
        <c:axId val="599813247"/>
      </c:barChart>
      <c:lineChart>
        <c:grouping val="standard"/>
        <c:varyColors val="0"/>
        <c:ser>
          <c:idx val="2"/>
          <c:order val="1"/>
          <c:tx>
            <c:strRef>
              <c:f>'Unit Economies'!$R$58</c:f>
              <c:strCache>
                <c:ptCount val="1"/>
                <c:pt idx="0">
                  <c:v>Rev per Kg</c:v>
                </c:pt>
              </c:strCache>
            </c:strRef>
          </c:tx>
          <c:spPr>
            <a:ln w="28575" cap="rnd">
              <a:solidFill>
                <a:schemeClr val="accent3"/>
              </a:solidFill>
              <a:round/>
            </a:ln>
            <a:effectLst/>
          </c:spPr>
          <c:marker>
            <c:symbol val="none"/>
          </c:marker>
          <c:cat>
            <c:numRef>
              <c:f>'Unit Economies'!$T$56:$W$56</c:f>
              <c:numCache>
                <c:formatCode>General</c:formatCode>
                <c:ptCount val="4"/>
                <c:pt idx="0">
                  <c:v>2023</c:v>
                </c:pt>
                <c:pt idx="1">
                  <c:v>2024</c:v>
                </c:pt>
                <c:pt idx="2">
                  <c:v>2025</c:v>
                </c:pt>
                <c:pt idx="3">
                  <c:v>2026</c:v>
                </c:pt>
              </c:numCache>
            </c:numRef>
          </c:cat>
          <c:val>
            <c:numRef>
              <c:f>'Unit Economies'!$T$58:$W$58</c:f>
              <c:numCache>
                <c:formatCode>_("$"* #,##0.0_);_("$"* \(#,##0.0\);_("$"* "-"??_);_(@_)</c:formatCode>
                <c:ptCount val="4"/>
                <c:pt idx="0">
                  <c:v>0.41</c:v>
                </c:pt>
                <c:pt idx="1">
                  <c:v>0.41</c:v>
                </c:pt>
                <c:pt idx="2">
                  <c:v>0.41</c:v>
                </c:pt>
                <c:pt idx="3">
                  <c:v>0.41</c:v>
                </c:pt>
              </c:numCache>
            </c:numRef>
          </c:val>
          <c:smooth val="0"/>
          <c:extLst>
            <c:ext xmlns:c16="http://schemas.microsoft.com/office/drawing/2014/chart" uri="{C3380CC4-5D6E-409C-BE32-E72D297353CC}">
              <c16:uniqueId val="{00000001-E608-4F65-93D8-186BFACF313D}"/>
            </c:ext>
          </c:extLst>
        </c:ser>
        <c:ser>
          <c:idx val="1"/>
          <c:order val="2"/>
          <c:tx>
            <c:strRef>
              <c:f>'Unit Economies'!$R$59</c:f>
              <c:strCache>
                <c:ptCount val="1"/>
                <c:pt idx="0">
                  <c:v>Cost per Kg</c:v>
                </c:pt>
              </c:strCache>
            </c:strRef>
          </c:tx>
          <c:spPr>
            <a:ln w="28575" cap="rnd">
              <a:solidFill>
                <a:schemeClr val="accent2"/>
              </a:solidFill>
              <a:round/>
            </a:ln>
            <a:effectLst/>
          </c:spPr>
          <c:marker>
            <c:symbol val="none"/>
          </c:marker>
          <c:cat>
            <c:numRef>
              <c:f>'Unit Economies'!$T$56:$W$56</c:f>
              <c:numCache>
                <c:formatCode>General</c:formatCode>
                <c:ptCount val="4"/>
                <c:pt idx="0">
                  <c:v>2023</c:v>
                </c:pt>
                <c:pt idx="1">
                  <c:v>2024</c:v>
                </c:pt>
                <c:pt idx="2">
                  <c:v>2025</c:v>
                </c:pt>
                <c:pt idx="3">
                  <c:v>2026</c:v>
                </c:pt>
              </c:numCache>
            </c:numRef>
          </c:cat>
          <c:val>
            <c:numRef>
              <c:f>'Unit Economies'!$T$59:$W$59</c:f>
              <c:numCache>
                <c:formatCode>_("$"* #,##0.0_);_("$"* \(#,##0.0\);_("$"* "-"??_);_(@_)</c:formatCode>
                <c:ptCount val="4"/>
                <c:pt idx="0">
                  <c:v>0.27</c:v>
                </c:pt>
                <c:pt idx="1">
                  <c:v>0.27</c:v>
                </c:pt>
                <c:pt idx="2">
                  <c:v>0.27</c:v>
                </c:pt>
                <c:pt idx="3">
                  <c:v>0.27</c:v>
                </c:pt>
              </c:numCache>
            </c:numRef>
          </c:val>
          <c:smooth val="0"/>
          <c:extLst>
            <c:ext xmlns:c16="http://schemas.microsoft.com/office/drawing/2014/chart" uri="{C3380CC4-5D6E-409C-BE32-E72D297353CC}">
              <c16:uniqueId val="{00000002-E608-4F65-93D8-186BFACF313D}"/>
            </c:ext>
          </c:extLst>
        </c:ser>
        <c:dLbls>
          <c:showLegendKey val="0"/>
          <c:showVal val="0"/>
          <c:showCatName val="0"/>
          <c:showSerName val="0"/>
          <c:showPercent val="0"/>
          <c:showBubbleSize val="0"/>
        </c:dLbls>
        <c:marker val="1"/>
        <c:smooth val="0"/>
        <c:axId val="599847775"/>
        <c:axId val="599850687"/>
      </c:lineChart>
      <c:catAx>
        <c:axId val="5998149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3247"/>
        <c:crosses val="autoZero"/>
        <c:auto val="1"/>
        <c:lblAlgn val="ctr"/>
        <c:lblOffset val="100"/>
        <c:noMultiLvlLbl val="0"/>
      </c:catAx>
      <c:valAx>
        <c:axId val="599813247"/>
        <c:scaling>
          <c:orientation val="minMax"/>
        </c:scaling>
        <c:delete val="0"/>
        <c:axPos val="l"/>
        <c:majorGridlines>
          <c:spPr>
            <a:ln w="317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14911"/>
        <c:crosses val="autoZero"/>
        <c:crossBetween val="between"/>
      </c:valAx>
      <c:valAx>
        <c:axId val="599850687"/>
        <c:scaling>
          <c:orientation val="minMax"/>
          <c:max val="0.60000000000000009"/>
        </c:scaling>
        <c:delete val="0"/>
        <c:axPos val="r"/>
        <c:numFmt formatCode="_(&quot;$&quot;* #,##0.00_);_(&quot;$&quot;* \(#,##0.0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599847775"/>
        <c:crosses val="max"/>
        <c:crossBetween val="between"/>
      </c:valAx>
      <c:catAx>
        <c:axId val="599847775"/>
        <c:scaling>
          <c:orientation val="minMax"/>
        </c:scaling>
        <c:delete val="1"/>
        <c:axPos val="b"/>
        <c:numFmt formatCode="General" sourceLinked="1"/>
        <c:majorTickMark val="out"/>
        <c:minorTickMark val="none"/>
        <c:tickLblPos val="nextTo"/>
        <c:crossAx val="599850687"/>
        <c:crosses val="autoZero"/>
        <c:auto val="1"/>
        <c:lblAlgn val="ctr"/>
        <c:lblOffset val="100"/>
        <c:noMultiLvlLbl val="0"/>
      </c:catAx>
      <c:spPr>
        <a:noFill/>
        <a:ln>
          <a:noFill/>
        </a:ln>
        <a:effectLst/>
      </c:spPr>
    </c:plotArea>
    <c:legend>
      <c:legendPos val="b"/>
      <c:layout>
        <c:manualLayout>
          <c:xMode val="edge"/>
          <c:yMode val="edge"/>
          <c:x val="9.1090008255027555E-2"/>
          <c:y val="7.1538440853798735E-2"/>
          <c:w val="0.62350452705039772"/>
          <c:h val="6.7967975508556031E-2"/>
        </c:manualLayout>
      </c:layout>
      <c:overlay val="0"/>
      <c:spPr>
        <a:noFill/>
        <a:ln>
          <a:noFill/>
        </a:ln>
        <a:effectLst/>
      </c:spPr>
      <c:txPr>
        <a:bodyPr rot="0" spcFirstLastPara="1" vertOverflow="ellipsis" vert="horz" wrap="square" anchor="ctr" anchorCtr="1"/>
        <a:lstStyle/>
        <a:p>
          <a:pPr>
            <a:defRPr sz="800" b="0"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800">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spc="0" baseline="0">
                <a:solidFill>
                  <a:sysClr val="windowText" lastClr="000000"/>
                </a:solidFill>
                <a:latin typeface="Grenette Pro Light" panose="02020302040202040103" pitchFamily="18" charset="0"/>
                <a:ea typeface="+mn-ea"/>
                <a:cs typeface="+mn-cs"/>
              </a:defRPr>
            </a:pPr>
            <a:r>
              <a:rPr lang="en-US" sz="2400" b="1"/>
              <a:t>WPI Historical Prices</a:t>
            </a:r>
            <a:r>
              <a:rPr lang="en-US" sz="2400" b="1" baseline="0"/>
              <a:t> ($/kg)</a:t>
            </a:r>
            <a:endParaRPr lang="en-US" sz="2400" b="1"/>
          </a:p>
        </c:rich>
      </c:tx>
      <c:overlay val="0"/>
      <c:spPr>
        <a:noFill/>
        <a:ln>
          <a:noFill/>
        </a:ln>
        <a:effectLst/>
      </c:spPr>
      <c:txPr>
        <a:bodyPr rot="0" spcFirstLastPara="1" vertOverflow="ellipsis" vert="horz" wrap="square" anchor="ctr" anchorCtr="1"/>
        <a:lstStyle/>
        <a:p>
          <a:pPr>
            <a:defRPr sz="2400" b="1" i="0" u="none" strike="noStrike" kern="1200" spc="0" baseline="0">
              <a:solidFill>
                <a:sysClr val="windowText" lastClr="000000"/>
              </a:solidFill>
              <a:latin typeface="Grenette Pro Light" panose="02020302040202040103" pitchFamily="18" charset="0"/>
              <a:ea typeface="+mn-ea"/>
              <a:cs typeface="+mn-cs"/>
            </a:defRPr>
          </a:pPr>
          <a:endParaRPr lang="en-US"/>
        </a:p>
      </c:txPr>
    </c:title>
    <c:autoTitleDeleted val="0"/>
    <c:plotArea>
      <c:layout/>
      <c:lineChart>
        <c:grouping val="standard"/>
        <c:varyColors val="0"/>
        <c:ser>
          <c:idx val="0"/>
          <c:order val="0"/>
          <c:tx>
            <c:strRef>
              <c:f>'WPI Historical Prices'!$C$5</c:f>
              <c:strCache>
                <c:ptCount val="1"/>
                <c:pt idx="0">
                  <c:v>Standard WPI ($/kg)</c:v>
                </c:pt>
              </c:strCache>
            </c:strRef>
          </c:tx>
          <c:spPr>
            <a:ln w="28575" cap="rnd">
              <a:solidFill>
                <a:schemeClr val="accent5"/>
              </a:solidFill>
              <a:round/>
            </a:ln>
            <a:effectLst/>
          </c:spPr>
          <c:marker>
            <c:symbol val="none"/>
          </c:marker>
          <c:cat>
            <c:multiLvlStrRef>
              <c:f>'WPI Historical Prices'!$D$3:$AD$4</c:f>
              <c:multiLvlStrCache>
                <c:ptCount val="27"/>
                <c:lvl>
                  <c:pt idx="0">
                    <c:v>Q3</c:v>
                  </c:pt>
                  <c:pt idx="1">
                    <c:v>Q4</c:v>
                  </c:pt>
                  <c:pt idx="2">
                    <c:v>Q1</c:v>
                  </c:pt>
                  <c:pt idx="3">
                    <c:v>Q2</c:v>
                  </c:pt>
                  <c:pt idx="4">
                    <c:v>Q3</c:v>
                  </c:pt>
                  <c:pt idx="5">
                    <c:v>Q4</c:v>
                  </c:pt>
                  <c:pt idx="6">
                    <c:v>Q1</c:v>
                  </c:pt>
                  <c:pt idx="7">
                    <c:v>Q2</c:v>
                  </c:pt>
                  <c:pt idx="8">
                    <c:v>Q3</c:v>
                  </c:pt>
                  <c:pt idx="9">
                    <c:v>Q4</c:v>
                  </c:pt>
                  <c:pt idx="10">
                    <c:v>Q1</c:v>
                  </c:pt>
                  <c:pt idx="11">
                    <c:v>Q2</c:v>
                  </c:pt>
                  <c:pt idx="12">
                    <c:v>Q3</c:v>
                  </c:pt>
                  <c:pt idx="13">
                    <c:v>Q4</c:v>
                  </c:pt>
                  <c:pt idx="14">
                    <c:v>Q1</c:v>
                  </c:pt>
                  <c:pt idx="15">
                    <c:v>Q2</c:v>
                  </c:pt>
                  <c:pt idx="16">
                    <c:v>Q3</c:v>
                  </c:pt>
                  <c:pt idx="17">
                    <c:v>Q4</c:v>
                  </c:pt>
                  <c:pt idx="18">
                    <c:v>Q1</c:v>
                  </c:pt>
                  <c:pt idx="19">
                    <c:v>Q2</c:v>
                  </c:pt>
                  <c:pt idx="20">
                    <c:v>Q3</c:v>
                  </c:pt>
                  <c:pt idx="21">
                    <c:v>Q4</c:v>
                  </c:pt>
                  <c:pt idx="22">
                    <c:v>Q1</c:v>
                  </c:pt>
                  <c:pt idx="23">
                    <c:v>Q2</c:v>
                  </c:pt>
                  <c:pt idx="24">
                    <c:v>Q3</c:v>
                  </c:pt>
                  <c:pt idx="25">
                    <c:v>Q4</c:v>
                  </c:pt>
                  <c:pt idx="26">
                    <c:v>Q1</c:v>
                  </c:pt>
                </c:lvl>
                <c:lvl>
                  <c:pt idx="0">
                    <c:v>2016</c:v>
                  </c:pt>
                  <c:pt idx="2">
                    <c:v>2017</c:v>
                  </c:pt>
                  <c:pt idx="6">
                    <c:v>2018</c:v>
                  </c:pt>
                  <c:pt idx="10">
                    <c:v>2019</c:v>
                  </c:pt>
                  <c:pt idx="14">
                    <c:v>2020</c:v>
                  </c:pt>
                  <c:pt idx="18">
                    <c:v>2021</c:v>
                  </c:pt>
                  <c:pt idx="22">
                    <c:v>2022</c:v>
                  </c:pt>
                  <c:pt idx="26">
                    <c:v>2023</c:v>
                  </c:pt>
                </c:lvl>
              </c:multiLvlStrCache>
            </c:multiLvlStrRef>
          </c:cat>
          <c:val>
            <c:numRef>
              <c:f>'WPI Historical Prices'!$D$5:$AD$5</c:f>
              <c:numCache>
                <c:formatCode>_("$"* #,##0.00_);_("$"* \(#,##0.00\);_("$"* "-"??_);_(@_)</c:formatCode>
                <c:ptCount val="27"/>
                <c:pt idx="0">
                  <c:v>9.4771999999999998</c:v>
                </c:pt>
                <c:pt idx="1">
                  <c:v>9.6976000000000013</c:v>
                </c:pt>
                <c:pt idx="2">
                  <c:v>9.6976000000000013</c:v>
                </c:pt>
                <c:pt idx="3">
                  <c:v>9.4771999999999998</c:v>
                </c:pt>
                <c:pt idx="4">
                  <c:v>9.1466000000000012</c:v>
                </c:pt>
                <c:pt idx="5">
                  <c:v>8.7058000000000018</c:v>
                </c:pt>
                <c:pt idx="6">
                  <c:v>7.6038000000000014</c:v>
                </c:pt>
                <c:pt idx="7">
                  <c:v>6.2814000000000005</c:v>
                </c:pt>
                <c:pt idx="8">
                  <c:v>6.0610000000000008</c:v>
                </c:pt>
                <c:pt idx="9">
                  <c:v>5.8406000000000002</c:v>
                </c:pt>
                <c:pt idx="10">
                  <c:v>6.9426000000000005</c:v>
                </c:pt>
                <c:pt idx="11">
                  <c:v>7.8242000000000003</c:v>
                </c:pt>
                <c:pt idx="12">
                  <c:v>7.8242000000000003</c:v>
                </c:pt>
                <c:pt idx="13">
                  <c:v>6.7222</c:v>
                </c:pt>
                <c:pt idx="14">
                  <c:v>6.6120000000000001</c:v>
                </c:pt>
                <c:pt idx="15">
                  <c:v>7.0528000000000013</c:v>
                </c:pt>
                <c:pt idx="16">
                  <c:v>6.2814000000000005</c:v>
                </c:pt>
                <c:pt idx="17">
                  <c:v>5.5100000000000007</c:v>
                </c:pt>
                <c:pt idx="18">
                  <c:v>6.0610000000000008</c:v>
                </c:pt>
                <c:pt idx="19">
                  <c:v>8.3751999999999995</c:v>
                </c:pt>
                <c:pt idx="20">
                  <c:v>12.011800000000001</c:v>
                </c:pt>
                <c:pt idx="21">
                  <c:v>14.5464</c:v>
                </c:pt>
                <c:pt idx="22">
                  <c:v>16.970800000000001</c:v>
                </c:pt>
                <c:pt idx="23">
                  <c:v>17.411600000000004</c:v>
                </c:pt>
                <c:pt idx="24">
                  <c:v>13.224</c:v>
                </c:pt>
                <c:pt idx="25">
                  <c:v>11.901600000000002</c:v>
                </c:pt>
                <c:pt idx="26">
                  <c:v>7.7140000000000004</c:v>
                </c:pt>
              </c:numCache>
            </c:numRef>
          </c:val>
          <c:smooth val="0"/>
          <c:extLst>
            <c:ext xmlns:c16="http://schemas.microsoft.com/office/drawing/2014/chart" uri="{C3380CC4-5D6E-409C-BE32-E72D297353CC}">
              <c16:uniqueId val="{00000000-A867-4268-AE4D-24ED05942755}"/>
            </c:ext>
          </c:extLst>
        </c:ser>
        <c:ser>
          <c:idx val="1"/>
          <c:order val="1"/>
          <c:tx>
            <c:strRef>
              <c:f>'WPI Historical Prices'!$C$6</c:f>
              <c:strCache>
                <c:ptCount val="1"/>
                <c:pt idx="0">
                  <c:v>Instant WPI ($/kg)</c:v>
                </c:pt>
              </c:strCache>
            </c:strRef>
          </c:tx>
          <c:spPr>
            <a:ln w="28575" cap="rnd">
              <a:solidFill>
                <a:schemeClr val="accent6">
                  <a:lumMod val="25000"/>
                </a:schemeClr>
              </a:solidFill>
              <a:round/>
            </a:ln>
            <a:effectLst/>
          </c:spPr>
          <c:marker>
            <c:symbol val="none"/>
          </c:marker>
          <c:cat>
            <c:multiLvlStrRef>
              <c:f>'WPI Historical Prices'!$D$3:$AD$4</c:f>
              <c:multiLvlStrCache>
                <c:ptCount val="27"/>
                <c:lvl>
                  <c:pt idx="0">
                    <c:v>Q3</c:v>
                  </c:pt>
                  <c:pt idx="1">
                    <c:v>Q4</c:v>
                  </c:pt>
                  <c:pt idx="2">
                    <c:v>Q1</c:v>
                  </c:pt>
                  <c:pt idx="3">
                    <c:v>Q2</c:v>
                  </c:pt>
                  <c:pt idx="4">
                    <c:v>Q3</c:v>
                  </c:pt>
                  <c:pt idx="5">
                    <c:v>Q4</c:v>
                  </c:pt>
                  <c:pt idx="6">
                    <c:v>Q1</c:v>
                  </c:pt>
                  <c:pt idx="7">
                    <c:v>Q2</c:v>
                  </c:pt>
                  <c:pt idx="8">
                    <c:v>Q3</c:v>
                  </c:pt>
                  <c:pt idx="9">
                    <c:v>Q4</c:v>
                  </c:pt>
                  <c:pt idx="10">
                    <c:v>Q1</c:v>
                  </c:pt>
                  <c:pt idx="11">
                    <c:v>Q2</c:v>
                  </c:pt>
                  <c:pt idx="12">
                    <c:v>Q3</c:v>
                  </c:pt>
                  <c:pt idx="13">
                    <c:v>Q4</c:v>
                  </c:pt>
                  <c:pt idx="14">
                    <c:v>Q1</c:v>
                  </c:pt>
                  <c:pt idx="15">
                    <c:v>Q2</c:v>
                  </c:pt>
                  <c:pt idx="16">
                    <c:v>Q3</c:v>
                  </c:pt>
                  <c:pt idx="17">
                    <c:v>Q4</c:v>
                  </c:pt>
                  <c:pt idx="18">
                    <c:v>Q1</c:v>
                  </c:pt>
                  <c:pt idx="19">
                    <c:v>Q2</c:v>
                  </c:pt>
                  <c:pt idx="20">
                    <c:v>Q3</c:v>
                  </c:pt>
                  <c:pt idx="21">
                    <c:v>Q4</c:v>
                  </c:pt>
                  <c:pt idx="22">
                    <c:v>Q1</c:v>
                  </c:pt>
                  <c:pt idx="23">
                    <c:v>Q2</c:v>
                  </c:pt>
                  <c:pt idx="24">
                    <c:v>Q3</c:v>
                  </c:pt>
                  <c:pt idx="25">
                    <c:v>Q4</c:v>
                  </c:pt>
                  <c:pt idx="26">
                    <c:v>Q1</c:v>
                  </c:pt>
                </c:lvl>
                <c:lvl>
                  <c:pt idx="0">
                    <c:v>2016</c:v>
                  </c:pt>
                  <c:pt idx="2">
                    <c:v>2017</c:v>
                  </c:pt>
                  <c:pt idx="6">
                    <c:v>2018</c:v>
                  </c:pt>
                  <c:pt idx="10">
                    <c:v>2019</c:v>
                  </c:pt>
                  <c:pt idx="14">
                    <c:v>2020</c:v>
                  </c:pt>
                  <c:pt idx="18">
                    <c:v>2021</c:v>
                  </c:pt>
                  <c:pt idx="22">
                    <c:v>2022</c:v>
                  </c:pt>
                  <c:pt idx="26">
                    <c:v>2023</c:v>
                  </c:pt>
                </c:lvl>
              </c:multiLvlStrCache>
            </c:multiLvlStrRef>
          </c:cat>
          <c:val>
            <c:numRef>
              <c:f>'WPI Historical Prices'!$D$6:$AD$6</c:f>
              <c:numCache>
                <c:formatCode>_("$"* #,##0.00_);_("$"* \(#,##0.00\);_("$"* "-"??_);_(@_)</c:formatCode>
                <c:ptCount val="27"/>
                <c:pt idx="0">
                  <c:v>9.6976000000000013</c:v>
                </c:pt>
                <c:pt idx="1">
                  <c:v>9.918000000000001</c:v>
                </c:pt>
                <c:pt idx="2">
                  <c:v>9.918000000000001</c:v>
                </c:pt>
                <c:pt idx="3">
                  <c:v>9.6976000000000013</c:v>
                </c:pt>
                <c:pt idx="4">
                  <c:v>9.3670000000000009</c:v>
                </c:pt>
                <c:pt idx="5">
                  <c:v>8.9261999999999997</c:v>
                </c:pt>
                <c:pt idx="6">
                  <c:v>7.8242000000000003</c:v>
                </c:pt>
                <c:pt idx="7">
                  <c:v>6.5018000000000011</c:v>
                </c:pt>
                <c:pt idx="8">
                  <c:v>6.2814000000000005</c:v>
                </c:pt>
                <c:pt idx="9">
                  <c:v>6.0610000000000008</c:v>
                </c:pt>
                <c:pt idx="10">
                  <c:v>7.1630000000000003</c:v>
                </c:pt>
                <c:pt idx="11">
                  <c:v>8.0446000000000009</c:v>
                </c:pt>
                <c:pt idx="12">
                  <c:v>8.0446000000000009</c:v>
                </c:pt>
                <c:pt idx="13">
                  <c:v>6.9426000000000005</c:v>
                </c:pt>
                <c:pt idx="14">
                  <c:v>6.8324000000000007</c:v>
                </c:pt>
                <c:pt idx="15">
                  <c:v>7.2732000000000001</c:v>
                </c:pt>
                <c:pt idx="16">
                  <c:v>6.5018000000000011</c:v>
                </c:pt>
                <c:pt idx="17">
                  <c:v>5.7304000000000004</c:v>
                </c:pt>
                <c:pt idx="18">
                  <c:v>6.2814000000000005</c:v>
                </c:pt>
                <c:pt idx="19">
                  <c:v>8.595600000000001</c:v>
                </c:pt>
                <c:pt idx="20">
                  <c:v>12.232200000000001</c:v>
                </c:pt>
                <c:pt idx="21">
                  <c:v>14.766800000000002</c:v>
                </c:pt>
                <c:pt idx="22">
                  <c:v>17.191200000000002</c:v>
                </c:pt>
                <c:pt idx="23">
                  <c:v>17.632000000000001</c:v>
                </c:pt>
                <c:pt idx="24">
                  <c:v>13.4444</c:v>
                </c:pt>
                <c:pt idx="25">
                  <c:v>12.122000000000002</c:v>
                </c:pt>
                <c:pt idx="26">
                  <c:v>7.7140000000000004</c:v>
                </c:pt>
              </c:numCache>
            </c:numRef>
          </c:val>
          <c:smooth val="0"/>
          <c:extLst>
            <c:ext xmlns:c16="http://schemas.microsoft.com/office/drawing/2014/chart" uri="{C3380CC4-5D6E-409C-BE32-E72D297353CC}">
              <c16:uniqueId val="{00000001-A867-4268-AE4D-24ED05942755}"/>
            </c:ext>
          </c:extLst>
        </c:ser>
        <c:dLbls>
          <c:showLegendKey val="0"/>
          <c:showVal val="0"/>
          <c:showCatName val="0"/>
          <c:showSerName val="0"/>
          <c:showPercent val="0"/>
          <c:showBubbleSize val="0"/>
        </c:dLbls>
        <c:smooth val="0"/>
        <c:axId val="1054700815"/>
        <c:axId val="1054706575"/>
      </c:lineChart>
      <c:catAx>
        <c:axId val="10547008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ysClr val="windowText" lastClr="000000"/>
                </a:solidFill>
                <a:latin typeface="Grenette Pro Light" panose="02020302040202040103" pitchFamily="18" charset="0"/>
                <a:ea typeface="+mn-ea"/>
                <a:cs typeface="+mn-cs"/>
              </a:defRPr>
            </a:pPr>
            <a:endParaRPr lang="en-US"/>
          </a:p>
        </c:txPr>
        <c:crossAx val="1054706575"/>
        <c:crosses val="autoZero"/>
        <c:auto val="1"/>
        <c:lblAlgn val="ctr"/>
        <c:lblOffset val="100"/>
        <c:noMultiLvlLbl val="0"/>
      </c:catAx>
      <c:valAx>
        <c:axId val="1054706575"/>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Grenette Pro Light" panose="02020302040202040103" pitchFamily="18" charset="0"/>
                <a:ea typeface="+mn-ea"/>
                <a:cs typeface="+mn-cs"/>
              </a:defRPr>
            </a:pPr>
            <a:endParaRPr lang="en-US"/>
          </a:p>
        </c:txPr>
        <c:crossAx val="105470081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Grenette Pro Light" panose="02020302040202040103" pitchFamily="18" charset="0"/>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Grenette Pro Light" panose="02020302040202040103" pitchFamily="18"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chart" Target="../charts/chart6.xml"/></Relationships>
</file>

<file path=xl/drawings/_rels/drawing3.xml.rels><?xml version="1.0" encoding="UTF-8" standalone="yes"?>
<Relationships xmlns="http://schemas.openxmlformats.org/package/2006/relationships"><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9525</xdr:colOff>
      <xdr:row>9</xdr:row>
      <xdr:rowOff>185737</xdr:rowOff>
    </xdr:from>
    <xdr:to>
      <xdr:col>11</xdr:col>
      <xdr:colOff>0</xdr:colOff>
      <xdr:row>23</xdr:row>
      <xdr:rowOff>76201</xdr:rowOff>
    </xdr:to>
    <xdr:graphicFrame macro="">
      <xdr:nvGraphicFramePr>
        <xdr:cNvPr id="2" name="Chart 1">
          <a:extLst>
            <a:ext uri="{FF2B5EF4-FFF2-40B4-BE49-F238E27FC236}">
              <a16:creationId xmlns:a16="http://schemas.microsoft.com/office/drawing/2014/main" id="{7713CF14-16A0-F6D4-2589-C01D0274E55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14288</xdr:colOff>
      <xdr:row>41</xdr:row>
      <xdr:rowOff>185736</xdr:rowOff>
    </xdr:from>
    <xdr:to>
      <xdr:col>11</xdr:col>
      <xdr:colOff>3620</xdr:colOff>
      <xdr:row>55</xdr:row>
      <xdr:rowOff>79056</xdr:rowOff>
    </xdr:to>
    <xdr:graphicFrame macro="">
      <xdr:nvGraphicFramePr>
        <xdr:cNvPr id="3" name="Chart 2">
          <a:extLst>
            <a:ext uri="{FF2B5EF4-FFF2-40B4-BE49-F238E27FC236}">
              <a16:creationId xmlns:a16="http://schemas.microsoft.com/office/drawing/2014/main" id="{379C51EB-EC51-E80A-5112-0AF0623901A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1</xdr:colOff>
      <xdr:row>5</xdr:row>
      <xdr:rowOff>1</xdr:rowOff>
    </xdr:from>
    <xdr:to>
      <xdr:col>7</xdr:col>
      <xdr:colOff>809626</xdr:colOff>
      <xdr:row>24</xdr:row>
      <xdr:rowOff>5013</xdr:rowOff>
    </xdr:to>
    <xdr:graphicFrame macro="">
      <xdr:nvGraphicFramePr>
        <xdr:cNvPr id="2" name="Chart 1">
          <a:extLst>
            <a:ext uri="{FF2B5EF4-FFF2-40B4-BE49-F238E27FC236}">
              <a16:creationId xmlns:a16="http://schemas.microsoft.com/office/drawing/2014/main" id="{2750925D-3515-4640-9280-2FDD79A6A6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111814</xdr:colOff>
      <xdr:row>4</xdr:row>
      <xdr:rowOff>44725</xdr:rowOff>
    </xdr:from>
    <xdr:to>
      <xdr:col>15</xdr:col>
      <xdr:colOff>811694</xdr:colOff>
      <xdr:row>24</xdr:row>
      <xdr:rowOff>8281</xdr:rowOff>
    </xdr:to>
    <xdr:graphicFrame macro="">
      <xdr:nvGraphicFramePr>
        <xdr:cNvPr id="4" name="Chart 3">
          <a:extLst>
            <a:ext uri="{FF2B5EF4-FFF2-40B4-BE49-F238E27FC236}">
              <a16:creationId xmlns:a16="http://schemas.microsoft.com/office/drawing/2014/main" id="{DEF2921E-9B34-693A-4F6D-C0DD143E187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0</xdr:colOff>
      <xdr:row>5</xdr:row>
      <xdr:rowOff>0</xdr:rowOff>
    </xdr:from>
    <xdr:to>
      <xdr:col>23</xdr:col>
      <xdr:colOff>814180</xdr:colOff>
      <xdr:row>24</xdr:row>
      <xdr:rowOff>11181</xdr:rowOff>
    </xdr:to>
    <xdr:graphicFrame macro="">
      <xdr:nvGraphicFramePr>
        <xdr:cNvPr id="5" name="Chart 4">
          <a:extLst>
            <a:ext uri="{FF2B5EF4-FFF2-40B4-BE49-F238E27FC236}">
              <a16:creationId xmlns:a16="http://schemas.microsoft.com/office/drawing/2014/main" id="{01916632-E469-4E9A-B836-6270585377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xdr:colOff>
      <xdr:row>35</xdr:row>
      <xdr:rowOff>11906</xdr:rowOff>
    </xdr:from>
    <xdr:to>
      <xdr:col>7</xdr:col>
      <xdr:colOff>809626</xdr:colOff>
      <xdr:row>54</xdr:row>
      <xdr:rowOff>5953</xdr:rowOff>
    </xdr:to>
    <xdr:graphicFrame macro="">
      <xdr:nvGraphicFramePr>
        <xdr:cNvPr id="6" name="Chart 5">
          <a:extLst>
            <a:ext uri="{FF2B5EF4-FFF2-40B4-BE49-F238E27FC236}">
              <a16:creationId xmlns:a16="http://schemas.microsoft.com/office/drawing/2014/main" id="{6FCD3C0A-59E7-4D93-AD00-83E292519FA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11906</xdr:colOff>
      <xdr:row>35</xdr:row>
      <xdr:rowOff>23812</xdr:rowOff>
    </xdr:from>
    <xdr:to>
      <xdr:col>16</xdr:col>
      <xdr:colOff>0</xdr:colOff>
      <xdr:row>53</xdr:row>
      <xdr:rowOff>160734</xdr:rowOff>
    </xdr:to>
    <xdr:graphicFrame macro="">
      <xdr:nvGraphicFramePr>
        <xdr:cNvPr id="7" name="Chart 6">
          <a:extLst>
            <a:ext uri="{FF2B5EF4-FFF2-40B4-BE49-F238E27FC236}">
              <a16:creationId xmlns:a16="http://schemas.microsoft.com/office/drawing/2014/main" id="{EE8679BF-4D13-44AE-AB27-08DF1D874F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17</xdr:col>
      <xdr:colOff>11906</xdr:colOff>
      <xdr:row>34</xdr:row>
      <xdr:rowOff>29765</xdr:rowOff>
    </xdr:from>
    <xdr:to>
      <xdr:col>23</xdr:col>
      <xdr:colOff>815577</xdr:colOff>
      <xdr:row>53</xdr:row>
      <xdr:rowOff>172640</xdr:rowOff>
    </xdr:to>
    <xdr:graphicFrame macro="">
      <xdr:nvGraphicFramePr>
        <xdr:cNvPr id="8" name="Chart 7">
          <a:extLst>
            <a:ext uri="{FF2B5EF4-FFF2-40B4-BE49-F238E27FC236}">
              <a16:creationId xmlns:a16="http://schemas.microsoft.com/office/drawing/2014/main" id="{1CF762F4-6D54-4A1A-AA83-EE52F149A6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xdr:col>
      <xdr:colOff>809625</xdr:colOff>
      <xdr:row>0</xdr:row>
      <xdr:rowOff>228600</xdr:rowOff>
    </xdr:from>
    <xdr:to>
      <xdr:col>10</xdr:col>
      <xdr:colOff>1000125</xdr:colOff>
      <xdr:row>0</xdr:row>
      <xdr:rowOff>581025</xdr:rowOff>
    </xdr:to>
    <xdr:sp macro="" textlink="">
      <xdr:nvSpPr>
        <xdr:cNvPr id="3" name="TextBox 2">
          <a:extLst>
            <a:ext uri="{FF2B5EF4-FFF2-40B4-BE49-F238E27FC236}">
              <a16:creationId xmlns:a16="http://schemas.microsoft.com/office/drawing/2014/main" id="{E407F811-47A1-D3A9-6F70-C4E18A95AD64}"/>
            </a:ext>
          </a:extLst>
        </xdr:cNvPr>
        <xdr:cNvSpPr txBox="1"/>
      </xdr:nvSpPr>
      <xdr:spPr>
        <a:xfrm>
          <a:off x="4895850" y="228600"/>
          <a:ext cx="6534150" cy="352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Add revenue &amp; EBITDA , and Revenue COGS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7</xdr:row>
      <xdr:rowOff>9525</xdr:rowOff>
    </xdr:from>
    <xdr:to>
      <xdr:col>25</xdr:col>
      <xdr:colOff>257175</xdr:colOff>
      <xdr:row>39</xdr:row>
      <xdr:rowOff>123825</xdr:rowOff>
    </xdr:to>
    <xdr:graphicFrame macro="">
      <xdr:nvGraphicFramePr>
        <xdr:cNvPr id="3" name="Chart 2">
          <a:extLst>
            <a:ext uri="{FF2B5EF4-FFF2-40B4-BE49-F238E27FC236}">
              <a16:creationId xmlns:a16="http://schemas.microsoft.com/office/drawing/2014/main" id="{7183233A-75AE-17EE-CCB5-9BD7E32E9C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428625</xdr:colOff>
      <xdr:row>7</xdr:row>
      <xdr:rowOff>123825</xdr:rowOff>
    </xdr:from>
    <xdr:to>
      <xdr:col>11</xdr:col>
      <xdr:colOff>133350</xdr:colOff>
      <xdr:row>42</xdr:row>
      <xdr:rowOff>19050</xdr:rowOff>
    </xdr:to>
    <xdr:sp macro="" textlink="">
      <xdr:nvSpPr>
        <xdr:cNvPr id="3" name="TextBox 2">
          <a:extLst>
            <a:ext uri="{FF2B5EF4-FFF2-40B4-BE49-F238E27FC236}">
              <a16:creationId xmlns:a16="http://schemas.microsoft.com/office/drawing/2014/main" id="{AD42FB08-C8B3-034E-2F27-C50604638035}"/>
            </a:ext>
          </a:extLst>
        </xdr:cNvPr>
        <xdr:cNvSpPr txBox="1"/>
      </xdr:nvSpPr>
      <xdr:spPr>
        <a:xfrm>
          <a:off x="533400" y="1466850"/>
          <a:ext cx="7353300" cy="57721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4400" b="1">
              <a:solidFill>
                <a:schemeClr val="accent5">
                  <a:lumMod val="50000"/>
                </a:schemeClr>
              </a:solidFill>
            </a:rPr>
            <a:t>TUC JV assumptions</a:t>
          </a:r>
          <a:r>
            <a:rPr lang="en-US" sz="4400" b="1" baseline="0">
              <a:solidFill>
                <a:schemeClr val="accent5">
                  <a:lumMod val="50000"/>
                </a:schemeClr>
              </a:solidFill>
            </a:rPr>
            <a:t> being excluded from rest of the model. This JV will be funded separately and we want to isolate the cash forecast for the rest of the businesses</a:t>
          </a:r>
          <a:endParaRPr lang="en-US" sz="4400" b="1">
            <a:solidFill>
              <a:schemeClr val="accent5">
                <a:lumMod val="50000"/>
              </a:schemeClr>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476250</xdr:colOff>
      <xdr:row>6</xdr:row>
      <xdr:rowOff>95250</xdr:rowOff>
    </xdr:from>
    <xdr:to>
      <xdr:col>20</xdr:col>
      <xdr:colOff>76200</xdr:colOff>
      <xdr:row>37</xdr:row>
      <xdr:rowOff>19050</xdr:rowOff>
    </xdr:to>
    <xdr:sp macro="" textlink="">
      <xdr:nvSpPr>
        <xdr:cNvPr id="2" name="TextBox 1">
          <a:extLst>
            <a:ext uri="{FF2B5EF4-FFF2-40B4-BE49-F238E27FC236}">
              <a16:creationId xmlns:a16="http://schemas.microsoft.com/office/drawing/2014/main" id="{248C2829-B435-4E06-A4F8-63E2E6849609}"/>
            </a:ext>
          </a:extLst>
        </xdr:cNvPr>
        <xdr:cNvSpPr txBox="1"/>
      </xdr:nvSpPr>
      <xdr:spPr>
        <a:xfrm>
          <a:off x="4267200" y="1400175"/>
          <a:ext cx="7353300" cy="57721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4400" b="1">
              <a:solidFill>
                <a:schemeClr val="accent5">
                  <a:lumMod val="50000"/>
                </a:schemeClr>
              </a:solidFill>
            </a:rPr>
            <a:t>TUC JV assumptions</a:t>
          </a:r>
          <a:r>
            <a:rPr lang="en-US" sz="4400" b="1" baseline="0">
              <a:solidFill>
                <a:schemeClr val="accent5">
                  <a:lumMod val="50000"/>
                </a:schemeClr>
              </a:solidFill>
            </a:rPr>
            <a:t> being excluded from rest of the model. This JV will be funded separately and we want to isolate the cash forecast for the rest of the businesses</a:t>
          </a:r>
          <a:endParaRPr lang="en-US" sz="4400" b="1">
            <a:solidFill>
              <a:schemeClr val="accent5">
                <a:lumMod val="50000"/>
              </a:schemeClr>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561975</xdr:colOff>
      <xdr:row>2</xdr:row>
      <xdr:rowOff>123825</xdr:rowOff>
    </xdr:from>
    <xdr:to>
      <xdr:col>9</xdr:col>
      <xdr:colOff>505157</xdr:colOff>
      <xdr:row>12</xdr:row>
      <xdr:rowOff>95485</xdr:rowOff>
    </xdr:to>
    <xdr:pic>
      <xdr:nvPicPr>
        <xdr:cNvPr id="2" name="Picture 1">
          <a:extLst>
            <a:ext uri="{FF2B5EF4-FFF2-40B4-BE49-F238E27FC236}">
              <a16:creationId xmlns:a16="http://schemas.microsoft.com/office/drawing/2014/main" id="{6B00B34A-180B-D3C7-82E7-70F57E3D5E30}"/>
            </a:ext>
          </a:extLst>
        </xdr:cNvPr>
        <xdr:cNvPicPr>
          <a:picLocks noChangeAspect="1"/>
        </xdr:cNvPicPr>
      </xdr:nvPicPr>
      <xdr:blipFill>
        <a:blip xmlns:r="http://schemas.openxmlformats.org/officeDocument/2006/relationships" r:embed="rId1"/>
        <a:stretch>
          <a:fillRect/>
        </a:stretch>
      </xdr:blipFill>
      <xdr:spPr>
        <a:xfrm>
          <a:off x="6696075" y="466725"/>
          <a:ext cx="2381582" cy="16861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erfectdayfoods-my.sharepoint.com/W:/Documents%20and%20Settings/TJKelly/Application%20Data/Microsoft/Excel/010407%201521%20FINAL%20as%20used%20for%20IR%20Jv%20numbers%20changed%20(2)%20(version%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perfectdayfoods-my.sharepoint.com/W:/Documents%20and%20Settings/TJKelly/Local%20Settings/Temporary%20Internet%20Files/OLK95/010407%201521%20FINAL%20as%20used%20for%20IR%20Jv%20numbers%20changed.xls"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perfectdayfoods.sharepoint.com/sites/financeadmin/Shared%20Documents/FP&amp;A/Projects/Series%20E/Series%20E%20Update%20March%202023/BU%20Files/Corporate%20Services.xlsx" TargetMode="External"/><Relationship Id="rId1" Type="http://schemas.openxmlformats.org/officeDocument/2006/relationships/externalLinkPath" Target="/sites/financeadmin/Shared%20Documents/FP&amp;A/Projects/Series%20E/Series%20E%20Update%20March%202023/BU%20Files/Corporate%20Service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perfectdayfoods.sharepoint.com/sites/financeadmin/Shared%20Documents/FP&amp;A/Nth%20Bio/Nth%20Bio%20Revenue%20&amp;%20Cost%20Model.xlsx" TargetMode="External"/><Relationship Id="rId1" Type="http://schemas.openxmlformats.org/officeDocument/2006/relationships/externalLinkPath" Target="/sites/financeadmin/Shared%20Documents/FP&amp;A/Nth%20Bio/Nth%20Bio%20Revenue%20&amp;%20Cost%20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velopment projects"/>
      <sheetName val="Growth Drivers (2)"/>
      <sheetName val="Volumes"/>
      <sheetName val="Growth Drivers 1"/>
      <sheetName val="JV &amp; Associates"/>
      <sheetName val="Strategic Balance"/>
      <sheetName val="Cost Progression"/>
      <sheetName val="Total Business Units"/>
      <sheetName val="BU Cash Gen"/>
      <sheetName val="Corp"/>
      <sheetName val="Property Sales"/>
      <sheetName val="Pork"/>
      <sheetName val="Foods Inc "/>
      <sheetName val="Consumer"/>
      <sheetName val="Agri Total"/>
      <sheetName val="Agri Trading"/>
      <sheetName val="D Walsh"/>
      <sheetName val="GII Total"/>
      <sheetName val="GII South"/>
      <sheetName val="GII North"/>
      <sheetName val="GII Milk assembly"/>
      <sheetName val="Zymalact "/>
      <sheetName val="Nutritionals Total"/>
      <sheetName val="Nutritionals Americas &amp; Seltzer"/>
      <sheetName val="Nutritionals EMEA &amp; ASPAC"/>
      <sheetName val="JV - Total"/>
      <sheetName val="Model Owners Worksheet"/>
      <sheetName val="Assumptions &amp; Calculations"/>
      <sheetName val=" Working Schedule"/>
      <sheetName val="Balance Sheet"/>
      <sheetName val="Summary"/>
      <sheetName val="CashFlow "/>
      <sheetName val="capex"/>
      <sheetName val="agri IR"/>
      <sheetName val="nutritionals"/>
      <sheetName val="foods inc"/>
      <sheetName val="food ingredients"/>
      <sheetName val="food ingred &amp; nutritionals"/>
      <sheetName val="Sheet1 (2)"/>
      <sheetName val="BU's"/>
      <sheetName val="Disposals"/>
      <sheetName val="Acquisitions"/>
      <sheetName val="Margin 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velopment projects"/>
      <sheetName val="Growth Drivers (2)"/>
      <sheetName val="Volumes"/>
      <sheetName val="Growth Drivers 1"/>
      <sheetName val="JV &amp; Associates"/>
      <sheetName val="Strategic Balance"/>
      <sheetName val="Cost Progression"/>
      <sheetName val="Total Business Units"/>
      <sheetName val="BU Cash Gen"/>
      <sheetName val="Corp"/>
      <sheetName val="Property Sales"/>
      <sheetName val="Pork"/>
      <sheetName val="Foods Inc "/>
      <sheetName val="Consumer"/>
      <sheetName val="Agri Total"/>
      <sheetName val="Agri Trading"/>
      <sheetName val="D Walsh"/>
      <sheetName val="GII Total"/>
      <sheetName val="GII South"/>
      <sheetName val="GII North"/>
      <sheetName val="GII Milk assembly"/>
      <sheetName val="Zymalact "/>
      <sheetName val="Nutritionals Total"/>
      <sheetName val="Nutritionals Americas &amp; Seltzer"/>
      <sheetName val="Nutritionals EMEA &amp; ASPAC"/>
      <sheetName val="JV - Total"/>
      <sheetName val="Model Owners Worksheet"/>
      <sheetName val="Assumptions &amp; Calculations"/>
      <sheetName val=" Working Schedule"/>
      <sheetName val="Balance Sheet"/>
      <sheetName val="Summary"/>
      <sheetName val="CashFlow "/>
      <sheetName val="capex"/>
      <sheetName val="agri IR"/>
      <sheetName val="nutritionals"/>
      <sheetName val="foods inc"/>
      <sheetName val="food ingredients"/>
      <sheetName val="food ingred &amp; nutritionals"/>
      <sheetName val="consumer IR"/>
      <sheetName val="Sheet1 (2)"/>
      <sheetName val="BU's"/>
      <sheetName val="Disposals"/>
      <sheetName val="Acquisitions"/>
      <sheetName val="ChannelP&am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G&amp;A"/>
      <sheetName val="Headcount"/>
      <sheetName val="Outside Services"/>
      <sheetName val="Marketing"/>
      <sheetName val="Travel &amp; Entertainment"/>
      <sheetName val="Licenses &amp; Insurance"/>
      <sheetName val="Software &amp; Equipment"/>
      <sheetName val="Shipping &amp; Freight"/>
      <sheetName val="Lab Equipment"/>
      <sheetName val="Facilities"/>
      <sheetName val="Other SG&amp;A"/>
    </sheetNames>
    <sheetDataSet>
      <sheetData sheetId="0">
        <row r="9">
          <cell r="E9">
            <v>11649</v>
          </cell>
          <cell r="F9">
            <v>8531.2799999999988</v>
          </cell>
          <cell r="G9">
            <v>9142.5312000000013</v>
          </cell>
          <cell r="H9">
            <v>9466.2324480000007</v>
          </cell>
          <cell r="I9">
            <v>9802.8817459200018</v>
          </cell>
          <cell r="J9">
            <v>10152.997015756802</v>
          </cell>
          <cell r="K9">
            <v>10517.116896387075</v>
          </cell>
          <cell r="L9">
            <v>10895.801572242557</v>
          </cell>
          <cell r="M9">
            <v>11289.633635132261</v>
          </cell>
        </row>
        <row r="10">
          <cell r="E10">
            <v>2443</v>
          </cell>
          <cell r="F10">
            <v>1365.0048000000002</v>
          </cell>
          <cell r="G10">
            <v>1462.8049920000001</v>
          </cell>
          <cell r="H10">
            <v>1514.5971916800004</v>
          </cell>
          <cell r="I10">
            <v>1568.4610793472002</v>
          </cell>
          <cell r="J10">
            <v>1624.4795225210885</v>
          </cell>
          <cell r="K10">
            <v>1682.7387034219319</v>
          </cell>
          <cell r="L10">
            <v>1743.3282515588094</v>
          </cell>
          <cell r="M10">
            <v>1806.3413816211619</v>
          </cell>
        </row>
        <row r="11">
          <cell r="E11">
            <v>0</v>
          </cell>
          <cell r="F11">
            <v>767.8152</v>
          </cell>
          <cell r="G11">
            <v>822.82780800000012</v>
          </cell>
          <cell r="H11">
            <v>851.96092032000001</v>
          </cell>
          <cell r="I11">
            <v>882.25935713280001</v>
          </cell>
          <cell r="J11">
            <v>913.76973141811209</v>
          </cell>
          <cell r="K11">
            <v>946.54052067483656</v>
          </cell>
          <cell r="L11">
            <v>980.62214150183024</v>
          </cell>
          <cell r="M11">
            <v>1016.0670271619034</v>
          </cell>
        </row>
        <row r="12">
          <cell r="E12">
            <v>1748</v>
          </cell>
          <cell r="F12">
            <v>1386.604</v>
          </cell>
          <cell r="G12">
            <v>1482.5681600000003</v>
          </cell>
          <cell r="H12">
            <v>1535.5708864000001</v>
          </cell>
          <cell r="I12">
            <v>1590.6937218560001</v>
          </cell>
          <cell r="J12">
            <v>1648.0214707302403</v>
          </cell>
          <cell r="K12">
            <v>1707.6423295594495</v>
          </cell>
          <cell r="L12">
            <v>1769.6480227418281</v>
          </cell>
          <cell r="M12">
            <v>1834.1339436515013</v>
          </cell>
        </row>
        <row r="14">
          <cell r="E14">
            <v>386</v>
          </cell>
          <cell r="F14"/>
          <cell r="G14"/>
          <cell r="H14"/>
          <cell r="I14"/>
          <cell r="J14"/>
          <cell r="K14"/>
          <cell r="L14"/>
          <cell r="M14"/>
        </row>
        <row r="15">
          <cell r="E15">
            <v>6845</v>
          </cell>
          <cell r="F15">
            <v>7500.3499999999995</v>
          </cell>
          <cell r="G15">
            <v>7725.3605000000016</v>
          </cell>
          <cell r="H15">
            <v>7957.1213150000012</v>
          </cell>
          <cell r="I15">
            <v>8195.8349544500015</v>
          </cell>
          <cell r="J15">
            <v>8441.7100030835009</v>
          </cell>
          <cell r="K15">
            <v>8694.9613031760055</v>
          </cell>
          <cell r="L15">
            <v>8955.8101422712862</v>
          </cell>
          <cell r="M15">
            <v>9224.4844465394235</v>
          </cell>
        </row>
        <row r="16">
          <cell r="E16">
            <v>340</v>
          </cell>
          <cell r="F16">
            <v>347.40000000000003</v>
          </cell>
          <cell r="G16">
            <v>354.96600000000001</v>
          </cell>
          <cell r="H16">
            <v>362.70186000000001</v>
          </cell>
          <cell r="I16">
            <v>370.61153339999998</v>
          </cell>
          <cell r="J16">
            <v>378.69906935400002</v>
          </cell>
          <cell r="K16">
            <v>386.96861518566004</v>
          </cell>
          <cell r="L16">
            <v>395.42441886729068</v>
          </cell>
          <cell r="M16">
            <v>404.07083156389143</v>
          </cell>
        </row>
        <row r="17">
          <cell r="E17">
            <v>811.5</v>
          </cell>
          <cell r="F17">
            <v>805</v>
          </cell>
          <cell r="G17">
            <v>841.5</v>
          </cell>
          <cell r="H17">
            <v>858.32999999999993</v>
          </cell>
          <cell r="I17">
            <v>875.49659999999994</v>
          </cell>
          <cell r="J17">
            <v>893.00653199999988</v>
          </cell>
          <cell r="K17">
            <v>910.86666264000007</v>
          </cell>
          <cell r="L17">
            <v>929.0839958928002</v>
          </cell>
          <cell r="M17">
            <v>947.66567581065624</v>
          </cell>
        </row>
        <row r="18">
          <cell r="E18">
            <v>593</v>
          </cell>
          <cell r="F18">
            <v>610.79</v>
          </cell>
          <cell r="G18">
            <v>629.11369999999999</v>
          </cell>
          <cell r="H18">
            <v>647.98711099999991</v>
          </cell>
          <cell r="I18">
            <v>667.42672432999996</v>
          </cell>
          <cell r="J18">
            <v>687.44952605990011</v>
          </cell>
          <cell r="K18">
            <v>708.07301184169705</v>
          </cell>
          <cell r="L18">
            <v>729.31520219694789</v>
          </cell>
          <cell r="M18">
            <v>751.19465826285636</v>
          </cell>
        </row>
        <row r="19">
          <cell r="E19">
            <v>1975</v>
          </cell>
          <cell r="F19">
            <v>2034.2500000000002</v>
          </cell>
          <cell r="G19">
            <v>2095.2775000000001</v>
          </cell>
          <cell r="H19">
            <v>2158.1358250000003</v>
          </cell>
          <cell r="I19">
            <v>2222.8798997500003</v>
          </cell>
          <cell r="J19">
            <v>2289.5662967425005</v>
          </cell>
          <cell r="K19">
            <v>2358.2532856447756</v>
          </cell>
          <cell r="L19">
            <v>2429.0008842141187</v>
          </cell>
          <cell r="M19">
            <v>2501.8709107405425</v>
          </cell>
        </row>
        <row r="20">
          <cell r="E20">
            <v>14</v>
          </cell>
          <cell r="F20">
            <v>14.42</v>
          </cell>
          <cell r="G20">
            <v>14.852599999999999</v>
          </cell>
          <cell r="H20">
            <v>15.298178</v>
          </cell>
          <cell r="I20">
            <v>15.757123340000001</v>
          </cell>
          <cell r="J20">
            <v>16.229837040200003</v>
          </cell>
          <cell r="K20">
            <v>16.716732151406003</v>
          </cell>
          <cell r="L20">
            <v>17.218234115948182</v>
          </cell>
          <cell r="M20">
            <v>17.73478113942663</v>
          </cell>
        </row>
        <row r="21">
          <cell r="E21">
            <v>450</v>
          </cell>
          <cell r="F21">
            <v>463.5</v>
          </cell>
          <cell r="G21">
            <v>477.40500000000003</v>
          </cell>
          <cell r="H21">
            <v>491.72715000000005</v>
          </cell>
          <cell r="I21">
            <v>506.47896450000007</v>
          </cell>
          <cell r="J21">
            <v>521.67333343500013</v>
          </cell>
          <cell r="K21">
            <v>537.32353343805016</v>
          </cell>
          <cell r="L21">
            <v>553.44323944119174</v>
          </cell>
          <cell r="M21">
            <v>570.04653662442752</v>
          </cell>
        </row>
        <row r="22">
          <cell r="E22">
            <v>1500</v>
          </cell>
          <cell r="F22">
            <v>1522.4999999999998</v>
          </cell>
          <cell r="G22">
            <v>1545.3374999999996</v>
          </cell>
          <cell r="H22">
            <v>1568.5175624999995</v>
          </cell>
          <cell r="I22">
            <v>1592.0453259374992</v>
          </cell>
          <cell r="J22">
            <v>1615.9260058265615</v>
          </cell>
          <cell r="K22">
            <v>1640.1648959139598</v>
          </cell>
          <cell r="L22">
            <v>1664.767369352669</v>
          </cell>
          <cell r="M22">
            <v>1689.7388798929589</v>
          </cell>
        </row>
        <row r="23">
          <cell r="E23">
            <v>61</v>
          </cell>
          <cell r="F23">
            <v>62.830000000000005</v>
          </cell>
          <cell r="G23">
            <v>64.7149</v>
          </cell>
          <cell r="H23">
            <v>66.656347000000011</v>
          </cell>
          <cell r="I23">
            <v>68.65603741000001</v>
          </cell>
          <cell r="J23">
            <v>70.715718532300002</v>
          </cell>
          <cell r="K23">
            <v>72.837190088269011</v>
          </cell>
          <cell r="L23">
            <v>75.022305790917073</v>
          </cell>
          <cell r="M23">
            <v>77.27297496464459</v>
          </cell>
        </row>
        <row r="27">
          <cell r="E27">
            <v>437</v>
          </cell>
          <cell r="F27">
            <v>454.48</v>
          </cell>
          <cell r="G27">
            <v>472.65920000000006</v>
          </cell>
          <cell r="H27">
            <v>491.5655680000001</v>
          </cell>
          <cell r="I27">
            <v>511.2281907200001</v>
          </cell>
          <cell r="J27">
            <v>531.6773183488001</v>
          </cell>
          <cell r="K27">
            <v>552.94441108275214</v>
          </cell>
          <cell r="L27">
            <v>575.06218752606219</v>
          </cell>
          <cell r="M27">
            <v>598.06467502710473</v>
          </cell>
        </row>
        <row r="28">
          <cell r="E28">
            <v>52.44</v>
          </cell>
          <cell r="F28">
            <v>54.537599999999998</v>
          </cell>
          <cell r="G28">
            <v>56.719104000000002</v>
          </cell>
          <cell r="H28">
            <v>58.987868160000012</v>
          </cell>
          <cell r="I28">
            <v>61.347382886400013</v>
          </cell>
          <cell r="J28">
            <v>63.801278201856007</v>
          </cell>
          <cell r="K28">
            <v>66.353329329930261</v>
          </cell>
          <cell r="L28">
            <v>69.007462503127456</v>
          </cell>
          <cell r="M28">
            <v>71.767761003252559</v>
          </cell>
        </row>
        <row r="29">
          <cell r="E29">
            <v>0</v>
          </cell>
          <cell r="F29">
            <v>0</v>
          </cell>
          <cell r="G29">
            <v>0</v>
          </cell>
          <cell r="H29">
            <v>0</v>
          </cell>
          <cell r="I29">
            <v>0</v>
          </cell>
          <cell r="J29">
            <v>0</v>
          </cell>
          <cell r="K29">
            <v>0</v>
          </cell>
          <cell r="L29">
            <v>0</v>
          </cell>
          <cell r="M29">
            <v>0</v>
          </cell>
        </row>
        <row r="30">
          <cell r="E30">
            <v>39.33</v>
          </cell>
          <cell r="F30">
            <v>40.903199999999998</v>
          </cell>
          <cell r="G30">
            <v>42.539328000000005</v>
          </cell>
          <cell r="H30">
            <v>44.240901120000004</v>
          </cell>
          <cell r="I30">
            <v>46.010537164800006</v>
          </cell>
          <cell r="J30">
            <v>47.850958651392006</v>
          </cell>
          <cell r="K30">
            <v>49.764996997447689</v>
          </cell>
          <cell r="L30">
            <v>51.755596877345596</v>
          </cell>
          <cell r="M30">
            <v>53.825820752439427</v>
          </cell>
        </row>
        <row r="32">
          <cell r="E32">
            <v>552</v>
          </cell>
          <cell r="F32">
            <v>568.56000000000006</v>
          </cell>
          <cell r="G32">
            <v>585.61680000000013</v>
          </cell>
          <cell r="H32">
            <v>603.1853040000002</v>
          </cell>
          <cell r="I32">
            <v>621.28086312000028</v>
          </cell>
          <cell r="J32">
            <v>639.91928901360029</v>
          </cell>
          <cell r="K32">
            <v>659.1168676840083</v>
          </cell>
          <cell r="L32">
            <v>678.89037371452855</v>
          </cell>
          <cell r="M32">
            <v>699.25708492596448</v>
          </cell>
        </row>
        <row r="33">
          <cell r="E33">
            <v>0</v>
          </cell>
          <cell r="F33">
            <v>0</v>
          </cell>
          <cell r="G33">
            <v>0</v>
          </cell>
          <cell r="H33">
            <v>0</v>
          </cell>
          <cell r="I33">
            <v>0</v>
          </cell>
          <cell r="J33">
            <v>0</v>
          </cell>
          <cell r="K33">
            <v>0</v>
          </cell>
          <cell r="L33">
            <v>0</v>
          </cell>
          <cell r="M33">
            <v>0</v>
          </cell>
        </row>
        <row r="34">
          <cell r="E34">
            <v>200</v>
          </cell>
          <cell r="F34">
            <v>304.98</v>
          </cell>
          <cell r="G34">
            <v>311.07959999999997</v>
          </cell>
          <cell r="H34">
            <v>317.30119200000001</v>
          </cell>
          <cell r="I34">
            <v>323.64721584</v>
          </cell>
          <cell r="J34">
            <v>330.12016015680001</v>
          </cell>
          <cell r="K34">
            <v>336.72256335993603</v>
          </cell>
          <cell r="L34">
            <v>343.4570146271347</v>
          </cell>
          <cell r="M34">
            <v>350.32615491967744</v>
          </cell>
        </row>
        <row r="35">
          <cell r="E35">
            <v>18.600000000000001</v>
          </cell>
          <cell r="F35">
            <v>19.158000000000001</v>
          </cell>
          <cell r="G35">
            <v>19.732740000000003</v>
          </cell>
          <cell r="H35">
            <v>20.324722200000004</v>
          </cell>
          <cell r="I35">
            <v>20.934463866000005</v>
          </cell>
          <cell r="J35">
            <v>21.562497781980007</v>
          </cell>
          <cell r="K35">
            <v>22.209372715439407</v>
          </cell>
          <cell r="L35">
            <v>22.875653896902591</v>
          </cell>
          <cell r="M35">
            <v>23.561923513809671</v>
          </cell>
        </row>
        <row r="36">
          <cell r="E36">
            <v>220</v>
          </cell>
          <cell r="F36">
            <v>226.6</v>
          </cell>
          <cell r="G36">
            <v>233.398</v>
          </cell>
          <cell r="H36">
            <v>240.39994000000002</v>
          </cell>
          <cell r="I36">
            <v>247.61193820000003</v>
          </cell>
          <cell r="J36">
            <v>255.04029634600002</v>
          </cell>
          <cell r="K36">
            <v>262.69150523638001</v>
          </cell>
          <cell r="L36">
            <v>270.57225039347139</v>
          </cell>
          <cell r="M36">
            <v>278.68941790527555</v>
          </cell>
        </row>
        <row r="37">
          <cell r="E37">
            <v>31</v>
          </cell>
          <cell r="F37">
            <v>31</v>
          </cell>
          <cell r="G37">
            <v>31</v>
          </cell>
          <cell r="H37">
            <v>31</v>
          </cell>
          <cell r="I37">
            <v>31</v>
          </cell>
          <cell r="J37">
            <v>31</v>
          </cell>
          <cell r="K37">
            <v>31</v>
          </cell>
          <cell r="L37">
            <v>31</v>
          </cell>
          <cell r="M37">
            <v>31</v>
          </cell>
        </row>
        <row r="38">
          <cell r="E38">
            <v>0</v>
          </cell>
          <cell r="F38">
            <v>0</v>
          </cell>
          <cell r="G38">
            <v>0</v>
          </cell>
          <cell r="H38">
            <v>0</v>
          </cell>
          <cell r="I38">
            <v>0</v>
          </cell>
          <cell r="J38">
            <v>0</v>
          </cell>
          <cell r="K38">
            <v>0</v>
          </cell>
          <cell r="L38">
            <v>0</v>
          </cell>
          <cell r="M38">
            <v>0</v>
          </cell>
        </row>
        <row r="39">
          <cell r="E39">
            <v>168.60000000000002</v>
          </cell>
          <cell r="F39">
            <v>171.12900000000002</v>
          </cell>
          <cell r="G39">
            <v>173.69593499999999</v>
          </cell>
          <cell r="H39">
            <v>176.30137402499997</v>
          </cell>
          <cell r="I39">
            <v>178.94589463537494</v>
          </cell>
          <cell r="J39">
            <v>181.63008305490555</v>
          </cell>
          <cell r="K39">
            <v>184.35453430072911</v>
          </cell>
          <cell r="L39">
            <v>187.11985231524002</v>
          </cell>
          <cell r="M39">
            <v>189.92665009996861</v>
          </cell>
        </row>
        <row r="40">
          <cell r="E40">
            <v>0</v>
          </cell>
          <cell r="F40">
            <v>0</v>
          </cell>
          <cell r="G40">
            <v>0</v>
          </cell>
          <cell r="H40">
            <v>0</v>
          </cell>
          <cell r="I40">
            <v>0</v>
          </cell>
          <cell r="J40">
            <v>0</v>
          </cell>
          <cell r="K40">
            <v>0</v>
          </cell>
          <cell r="L40">
            <v>0</v>
          </cell>
          <cell r="M40">
            <v>0</v>
          </cell>
        </row>
      </sheetData>
      <sheetData sheetId="1"/>
      <sheetData sheetId="2"/>
      <sheetData sheetId="3"/>
      <sheetData sheetId="4"/>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run_tmp"/>
      <sheetName val="CAPEX Requirements"/>
      <sheetName val="Revenue &amp; COGS"/>
      <sheetName val="SG&amp;A"/>
      <sheetName val="Headcount"/>
      <sheetName val="Outside Services"/>
      <sheetName val="Marketing"/>
      <sheetName val="Travel &amp; Entertainment"/>
      <sheetName val="Licenses &amp; Insurance"/>
      <sheetName val="Software &amp; Equipment"/>
      <sheetName val="Shipping &amp; Freight"/>
      <sheetName val="Lab Equipment"/>
      <sheetName val="Facilities"/>
      <sheetName val="Other SG&amp;A"/>
      <sheetName val="Sheet1"/>
    </sheetNames>
    <sheetDataSet>
      <sheetData sheetId="0" refreshError="1"/>
      <sheetData sheetId="1" refreshError="1"/>
      <sheetData sheetId="2" refreshError="1"/>
      <sheetData sheetId="3">
        <row r="9">
          <cell r="E9">
            <v>7396</v>
          </cell>
          <cell r="F9">
            <v>6071.5199999999995</v>
          </cell>
          <cell r="G9">
            <v>6411.7248</v>
          </cell>
          <cell r="H9">
            <v>6769.4315520000009</v>
          </cell>
          <cell r="I9">
            <v>7040.2088140800006</v>
          </cell>
          <cell r="J9">
            <v>7321.8171666432017</v>
          </cell>
          <cell r="K9">
            <v>7614.6898533089297</v>
          </cell>
          <cell r="L9">
            <v>7919.2774474412872</v>
          </cell>
          <cell r="M9">
            <v>8236.048545338941</v>
          </cell>
        </row>
        <row r="10">
          <cell r="E10">
            <v>1183.3599999999999</v>
          </cell>
          <cell r="F10">
            <v>971.44320000000016</v>
          </cell>
          <cell r="G10">
            <v>1025.8759680000001</v>
          </cell>
          <cell r="H10">
            <v>1083.1090483200001</v>
          </cell>
          <cell r="I10">
            <v>1126.4334102528003</v>
          </cell>
          <cell r="J10">
            <v>1171.4907466629122</v>
          </cell>
          <cell r="K10">
            <v>1218.3503765294288</v>
          </cell>
          <cell r="L10">
            <v>1267.0843915906059</v>
          </cell>
          <cell r="M10">
            <v>1317.7677672542304</v>
          </cell>
        </row>
        <row r="11">
          <cell r="E11">
            <v>665.63999999999987</v>
          </cell>
          <cell r="F11">
            <v>546.43679999999995</v>
          </cell>
          <cell r="G11">
            <v>577.05523200000005</v>
          </cell>
          <cell r="H11">
            <v>609.24883968000017</v>
          </cell>
          <cell r="I11">
            <v>633.61879326720009</v>
          </cell>
          <cell r="J11">
            <v>658.96354499788811</v>
          </cell>
          <cell r="K11">
            <v>685.32208679780365</v>
          </cell>
          <cell r="L11">
            <v>712.73497026971575</v>
          </cell>
          <cell r="M11">
            <v>741.2443690805045</v>
          </cell>
        </row>
        <row r="12">
          <cell r="E12">
            <v>1286.4000000000001</v>
          </cell>
          <cell r="F12">
            <v>1066.26</v>
          </cell>
          <cell r="G12">
            <v>1123.5120000000002</v>
          </cell>
          <cell r="H12">
            <v>1183.638144</v>
          </cell>
          <cell r="I12">
            <v>1230.9836697600003</v>
          </cell>
          <cell r="J12">
            <v>1280.2230165504004</v>
          </cell>
          <cell r="K12">
            <v>1331.4319372124164</v>
          </cell>
          <cell r="L12">
            <v>1384.6892147009128</v>
          </cell>
          <cell r="M12">
            <v>1440.0767832889496</v>
          </cell>
        </row>
        <row r="15">
          <cell r="E15">
            <v>3101</v>
          </cell>
          <cell r="F15">
            <v>3194.03</v>
          </cell>
          <cell r="G15">
            <v>3289.8509000000004</v>
          </cell>
          <cell r="H15">
            <v>3388.5464269999998</v>
          </cell>
          <cell r="I15">
            <v>3490.2028198100002</v>
          </cell>
          <cell r="J15">
            <v>3594.9089044043003</v>
          </cell>
          <cell r="K15">
            <v>3702.7561715364291</v>
          </cell>
          <cell r="L15">
            <v>3813.8388566825229</v>
          </cell>
          <cell r="M15">
            <v>3928.2540223829983</v>
          </cell>
        </row>
        <row r="17">
          <cell r="E17">
            <v>414</v>
          </cell>
          <cell r="F17">
            <v>466.92857142857144</v>
          </cell>
          <cell r="G17">
            <v>481.36714285714288</v>
          </cell>
          <cell r="H17">
            <v>496.1964857142857</v>
          </cell>
          <cell r="I17">
            <v>506.12041542857145</v>
          </cell>
          <cell r="J17">
            <v>516.24282373714288</v>
          </cell>
          <cell r="K17">
            <v>526.56768021188577</v>
          </cell>
          <cell r="L17">
            <v>537.09903381612344</v>
          </cell>
          <cell r="M17">
            <v>547.84101449244599</v>
          </cell>
        </row>
        <row r="18">
          <cell r="E18">
            <v>24.42</v>
          </cell>
          <cell r="F18">
            <v>25.152600000000003</v>
          </cell>
          <cell r="G18">
            <v>25.907178000000005</v>
          </cell>
          <cell r="H18">
            <v>26.684393340000007</v>
          </cell>
          <cell r="I18">
            <v>27.484925140200009</v>
          </cell>
          <cell r="J18">
            <v>28.30947289440601</v>
          </cell>
          <cell r="K18">
            <v>29.158757081238193</v>
          </cell>
          <cell r="L18">
            <v>30.033519793675339</v>
          </cell>
          <cell r="M18">
            <v>30.9345253874856</v>
          </cell>
        </row>
        <row r="19">
          <cell r="E19">
            <v>1475.8</v>
          </cell>
          <cell r="F19">
            <v>1520.0739999999998</v>
          </cell>
          <cell r="G19">
            <v>1565.6762200000001</v>
          </cell>
          <cell r="H19">
            <v>1612.6465066000003</v>
          </cell>
          <cell r="I19">
            <v>1661.0259017980002</v>
          </cell>
          <cell r="J19">
            <v>1710.8566788519402</v>
          </cell>
          <cell r="K19">
            <v>1762.1823792174985</v>
          </cell>
          <cell r="L19">
            <v>1815.0478505940234</v>
          </cell>
          <cell r="M19">
            <v>1869.4992861118442</v>
          </cell>
        </row>
        <row r="20">
          <cell r="E20">
            <v>55.9</v>
          </cell>
          <cell r="F20">
            <v>57.576999999999998</v>
          </cell>
          <cell r="G20">
            <v>59.304310000000001</v>
          </cell>
          <cell r="H20">
            <v>61.083439300000002</v>
          </cell>
          <cell r="I20">
            <v>62.915942479000002</v>
          </cell>
          <cell r="J20">
            <v>64.803420753370006</v>
          </cell>
          <cell r="K20">
            <v>66.747523375971113</v>
          </cell>
          <cell r="L20">
            <v>68.749949077250236</v>
          </cell>
          <cell r="M20">
            <v>70.81244754956775</v>
          </cell>
        </row>
        <row r="21">
          <cell r="E21">
            <v>684</v>
          </cell>
          <cell r="F21">
            <v>704.52</v>
          </cell>
          <cell r="G21">
            <v>725.65560000000005</v>
          </cell>
          <cell r="H21">
            <v>747.42526800000007</v>
          </cell>
          <cell r="I21">
            <v>769.84802604000015</v>
          </cell>
          <cell r="J21">
            <v>792.94346682120022</v>
          </cell>
          <cell r="K21">
            <v>816.73177082583618</v>
          </cell>
          <cell r="L21">
            <v>841.23372395061119</v>
          </cell>
          <cell r="M21">
            <v>866.47073566912957</v>
          </cell>
        </row>
        <row r="22">
          <cell r="E22">
            <v>5290</v>
          </cell>
          <cell r="F22">
            <v>5448.7</v>
          </cell>
          <cell r="G22">
            <v>5612.161000000001</v>
          </cell>
          <cell r="H22">
            <v>5780.5258300000005</v>
          </cell>
          <cell r="I22">
            <v>5953.941604900001</v>
          </cell>
          <cell r="J22">
            <v>6132.5598530470006</v>
          </cell>
          <cell r="K22">
            <v>6316.53664863841</v>
          </cell>
          <cell r="L22">
            <v>6506.0327480975639</v>
          </cell>
          <cell r="M22">
            <v>6701.2137305404904</v>
          </cell>
        </row>
        <row r="27">
          <cell r="E27">
            <v>0</v>
          </cell>
          <cell r="F27">
            <v>0</v>
          </cell>
          <cell r="G27">
            <v>0</v>
          </cell>
          <cell r="H27">
            <v>0</v>
          </cell>
          <cell r="I27">
            <v>0</v>
          </cell>
          <cell r="J27">
            <v>0</v>
          </cell>
          <cell r="K27">
            <v>0</v>
          </cell>
          <cell r="L27">
            <v>0</v>
          </cell>
          <cell r="M27">
            <v>0</v>
          </cell>
        </row>
        <row r="28">
          <cell r="E28">
            <v>0</v>
          </cell>
          <cell r="F28">
            <v>0</v>
          </cell>
          <cell r="G28">
            <v>0</v>
          </cell>
          <cell r="H28">
            <v>0</v>
          </cell>
          <cell r="I28">
            <v>0</v>
          </cell>
          <cell r="J28">
            <v>0</v>
          </cell>
          <cell r="K28">
            <v>0</v>
          </cell>
          <cell r="L28">
            <v>0</v>
          </cell>
          <cell r="M28">
            <v>0</v>
          </cell>
        </row>
        <row r="29">
          <cell r="E29">
            <v>0</v>
          </cell>
          <cell r="F29">
            <v>0</v>
          </cell>
          <cell r="G29">
            <v>0</v>
          </cell>
          <cell r="H29">
            <v>0</v>
          </cell>
          <cell r="I29">
            <v>0</v>
          </cell>
          <cell r="J29">
            <v>0</v>
          </cell>
          <cell r="K29">
            <v>0</v>
          </cell>
          <cell r="L29">
            <v>0</v>
          </cell>
          <cell r="M29">
            <v>0</v>
          </cell>
        </row>
        <row r="30">
          <cell r="E30">
            <v>0</v>
          </cell>
          <cell r="F30">
            <v>0</v>
          </cell>
          <cell r="G30">
            <v>0</v>
          </cell>
          <cell r="H30">
            <v>0</v>
          </cell>
          <cell r="I30">
            <v>0</v>
          </cell>
          <cell r="J30">
            <v>0</v>
          </cell>
          <cell r="K30">
            <v>0</v>
          </cell>
          <cell r="L30">
            <v>0</v>
          </cell>
          <cell r="M30">
            <v>0</v>
          </cell>
        </row>
        <row r="33">
          <cell r="E33">
            <v>0</v>
          </cell>
          <cell r="F33">
            <v>0</v>
          </cell>
          <cell r="G33">
            <v>0</v>
          </cell>
          <cell r="H33">
            <v>0</v>
          </cell>
          <cell r="I33">
            <v>0</v>
          </cell>
          <cell r="J33">
            <v>0</v>
          </cell>
          <cell r="K33">
            <v>0</v>
          </cell>
          <cell r="L33">
            <v>0</v>
          </cell>
          <cell r="M33">
            <v>0</v>
          </cell>
        </row>
        <row r="34">
          <cell r="E34">
            <v>0</v>
          </cell>
          <cell r="F34">
            <v>0</v>
          </cell>
          <cell r="G34">
            <v>0</v>
          </cell>
          <cell r="H34">
            <v>0</v>
          </cell>
          <cell r="I34">
            <v>0</v>
          </cell>
          <cell r="J34">
            <v>0</v>
          </cell>
          <cell r="K34">
            <v>0</v>
          </cell>
          <cell r="L34">
            <v>0</v>
          </cell>
          <cell r="M34">
            <v>0</v>
          </cell>
        </row>
        <row r="35">
          <cell r="E35">
            <v>0</v>
          </cell>
          <cell r="F35">
            <v>0</v>
          </cell>
          <cell r="G35">
            <v>0</v>
          </cell>
          <cell r="H35">
            <v>0</v>
          </cell>
          <cell r="I35">
            <v>0</v>
          </cell>
          <cell r="J35">
            <v>0</v>
          </cell>
          <cell r="K35">
            <v>0</v>
          </cell>
          <cell r="L35">
            <v>0</v>
          </cell>
          <cell r="M35">
            <v>0</v>
          </cell>
        </row>
        <row r="36">
          <cell r="E36">
            <v>0</v>
          </cell>
          <cell r="F36">
            <v>0</v>
          </cell>
          <cell r="G36">
            <v>0</v>
          </cell>
          <cell r="H36">
            <v>0</v>
          </cell>
          <cell r="I36">
            <v>0</v>
          </cell>
          <cell r="J36">
            <v>0</v>
          </cell>
          <cell r="K36">
            <v>0</v>
          </cell>
          <cell r="L36">
            <v>0</v>
          </cell>
          <cell r="M36">
            <v>0</v>
          </cell>
        </row>
        <row r="37">
          <cell r="E37">
            <v>0</v>
          </cell>
          <cell r="F37">
            <v>0</v>
          </cell>
          <cell r="G37">
            <v>0</v>
          </cell>
          <cell r="H37">
            <v>0</v>
          </cell>
          <cell r="I37">
            <v>0</v>
          </cell>
          <cell r="J37">
            <v>0</v>
          </cell>
          <cell r="K37">
            <v>0</v>
          </cell>
          <cell r="L37">
            <v>0</v>
          </cell>
          <cell r="M37">
            <v>0</v>
          </cell>
        </row>
        <row r="38">
          <cell r="E38">
            <v>0</v>
          </cell>
          <cell r="F38">
            <v>0</v>
          </cell>
          <cell r="G38">
            <v>0</v>
          </cell>
          <cell r="H38">
            <v>0</v>
          </cell>
          <cell r="I38">
            <v>0</v>
          </cell>
          <cell r="J38">
            <v>0</v>
          </cell>
          <cell r="K38">
            <v>0</v>
          </cell>
          <cell r="L38">
            <v>0</v>
          </cell>
          <cell r="M38">
            <v>0</v>
          </cell>
        </row>
        <row r="39">
          <cell r="E39">
            <v>0</v>
          </cell>
          <cell r="F39">
            <v>0</v>
          </cell>
          <cell r="G39">
            <v>0</v>
          </cell>
          <cell r="H39">
            <v>0</v>
          </cell>
          <cell r="I39">
            <v>0</v>
          </cell>
          <cell r="J39">
            <v>0</v>
          </cell>
          <cell r="K39">
            <v>0</v>
          </cell>
          <cell r="L39">
            <v>0</v>
          </cell>
          <cell r="M39">
            <v>0</v>
          </cell>
        </row>
        <row r="40">
          <cell r="E40">
            <v>0</v>
          </cell>
          <cell r="F40">
            <v>0</v>
          </cell>
          <cell r="G40">
            <v>0</v>
          </cell>
          <cell r="H40">
            <v>0</v>
          </cell>
          <cell r="I40">
            <v>0</v>
          </cell>
          <cell r="J40">
            <v>0</v>
          </cell>
          <cell r="K40">
            <v>0</v>
          </cell>
          <cell r="L40">
            <v>0</v>
          </cell>
          <cell r="M40">
            <v>0</v>
          </cell>
        </row>
        <row r="41">
          <cell r="E41">
            <v>0</v>
          </cell>
          <cell r="F41">
            <v>0</v>
          </cell>
          <cell r="G41">
            <v>0</v>
          </cell>
          <cell r="H41">
            <v>0</v>
          </cell>
          <cell r="I41">
            <v>0</v>
          </cell>
          <cell r="J41">
            <v>0</v>
          </cell>
          <cell r="K41">
            <v>0</v>
          </cell>
          <cell r="L41">
            <v>0</v>
          </cell>
          <cell r="M41">
            <v>0</v>
          </cell>
        </row>
        <row r="45">
          <cell r="E45">
            <v>166</v>
          </cell>
          <cell r="F45">
            <v>345.28000000000003</v>
          </cell>
          <cell r="G45">
            <v>359.09120000000001</v>
          </cell>
          <cell r="H45">
            <v>373.45484800000003</v>
          </cell>
          <cell r="I45">
            <v>388.39304192000003</v>
          </cell>
          <cell r="J45">
            <v>403.92876359680002</v>
          </cell>
          <cell r="K45">
            <v>420.08591414067206</v>
          </cell>
          <cell r="L45">
            <v>436.88935070629896</v>
          </cell>
          <cell r="M45">
            <v>454.36492473455093</v>
          </cell>
        </row>
        <row r="46">
          <cell r="E46">
            <v>26.56</v>
          </cell>
          <cell r="F46">
            <v>55.244800000000005</v>
          </cell>
          <cell r="G46">
            <v>57.454592000000005</v>
          </cell>
          <cell r="H46">
            <v>59.752775680000006</v>
          </cell>
          <cell r="I46">
            <v>62.142886707200006</v>
          </cell>
          <cell r="J46">
            <v>64.628602175487998</v>
          </cell>
          <cell r="K46">
            <v>67.213746262507527</v>
          </cell>
          <cell r="L46">
            <v>69.902296113007836</v>
          </cell>
          <cell r="M46">
            <v>72.698387957528155</v>
          </cell>
        </row>
        <row r="47">
          <cell r="E47">
            <v>14.94</v>
          </cell>
          <cell r="F47">
            <v>31.075200000000002</v>
          </cell>
          <cell r="G47">
            <v>32.318207999999998</v>
          </cell>
          <cell r="H47">
            <v>33.61093632</v>
          </cell>
          <cell r="I47">
            <v>34.955373772800002</v>
          </cell>
          <cell r="J47">
            <v>36.353588723712001</v>
          </cell>
          <cell r="K47">
            <v>37.807732272660481</v>
          </cell>
          <cell r="L47">
            <v>39.320041563566903</v>
          </cell>
          <cell r="M47">
            <v>40.892843226109584</v>
          </cell>
        </row>
        <row r="48">
          <cell r="E48">
            <v>29.88</v>
          </cell>
          <cell r="F48">
            <v>62.150400000000005</v>
          </cell>
          <cell r="G48">
            <v>64.636415999999997</v>
          </cell>
          <cell r="H48">
            <v>67.221872640000001</v>
          </cell>
          <cell r="I48">
            <v>69.910747545600003</v>
          </cell>
          <cell r="J48">
            <v>72.707177447424002</v>
          </cell>
          <cell r="K48">
            <v>75.615464545320961</v>
          </cell>
          <cell r="L48">
            <v>78.640083127133806</v>
          </cell>
          <cell r="M48">
            <v>81.785686452219167</v>
          </cell>
        </row>
        <row r="51">
          <cell r="E51">
            <v>0</v>
          </cell>
          <cell r="F51">
            <v>0</v>
          </cell>
          <cell r="G51">
            <v>0</v>
          </cell>
          <cell r="H51">
            <v>0</v>
          </cell>
          <cell r="I51">
            <v>0</v>
          </cell>
          <cell r="J51">
            <v>0</v>
          </cell>
          <cell r="K51">
            <v>0</v>
          </cell>
          <cell r="L51">
            <v>0</v>
          </cell>
          <cell r="M51">
            <v>0</v>
          </cell>
        </row>
        <row r="52">
          <cell r="E52">
            <v>0</v>
          </cell>
          <cell r="F52">
            <v>0</v>
          </cell>
          <cell r="G52">
            <v>0</v>
          </cell>
          <cell r="H52">
            <v>0</v>
          </cell>
          <cell r="I52">
            <v>0</v>
          </cell>
          <cell r="J52">
            <v>0</v>
          </cell>
          <cell r="K52">
            <v>0</v>
          </cell>
          <cell r="L52">
            <v>0</v>
          </cell>
          <cell r="M52">
            <v>0</v>
          </cell>
        </row>
        <row r="53">
          <cell r="E53">
            <v>0</v>
          </cell>
          <cell r="F53">
            <v>72</v>
          </cell>
          <cell r="G53">
            <v>79.56</v>
          </cell>
          <cell r="H53">
            <v>89.474400000000003</v>
          </cell>
          <cell r="I53">
            <v>91.263888000000009</v>
          </cell>
          <cell r="J53">
            <v>93.089165760000014</v>
          </cell>
          <cell r="K53">
            <v>94.950949075200015</v>
          </cell>
          <cell r="L53">
            <v>96.849968056704029</v>
          </cell>
          <cell r="M53">
            <v>98.786967417838099</v>
          </cell>
        </row>
        <row r="54">
          <cell r="E54">
            <v>0</v>
          </cell>
          <cell r="F54">
            <v>0</v>
          </cell>
          <cell r="G54">
            <v>0</v>
          </cell>
          <cell r="H54">
            <v>0</v>
          </cell>
          <cell r="I54">
            <v>0</v>
          </cell>
          <cell r="J54">
            <v>0</v>
          </cell>
          <cell r="K54">
            <v>0</v>
          </cell>
          <cell r="L54">
            <v>0</v>
          </cell>
          <cell r="M54">
            <v>0</v>
          </cell>
        </row>
        <row r="55">
          <cell r="E55">
            <v>18</v>
          </cell>
          <cell r="F55">
            <v>18.54</v>
          </cell>
          <cell r="G55">
            <v>19.0962</v>
          </cell>
          <cell r="H55">
            <v>19.669086</v>
          </cell>
          <cell r="I55">
            <v>20.259158580000001</v>
          </cell>
          <cell r="J55">
            <v>20.866933337400003</v>
          </cell>
          <cell r="K55">
            <v>21.492941337522002</v>
          </cell>
          <cell r="L55">
            <v>22.137729577647661</v>
          </cell>
          <cell r="M55">
            <v>22.80186146497709</v>
          </cell>
        </row>
        <row r="56">
          <cell r="E56">
            <v>30</v>
          </cell>
          <cell r="F56">
            <v>30.900000000000002</v>
          </cell>
          <cell r="G56">
            <v>31.827000000000002</v>
          </cell>
          <cell r="H56">
            <v>32.78181</v>
          </cell>
          <cell r="I56">
            <v>33.765264299999998</v>
          </cell>
          <cell r="J56">
            <v>34.778222229000001</v>
          </cell>
          <cell r="K56">
            <v>35.821568895870001</v>
          </cell>
          <cell r="L56">
            <v>36.896215962746105</v>
          </cell>
          <cell r="M56">
            <v>38.003102441628492</v>
          </cell>
        </row>
        <row r="57">
          <cell r="E57">
            <v>120</v>
          </cell>
          <cell r="F57">
            <v>123.60000000000001</v>
          </cell>
          <cell r="G57">
            <v>127.30800000000001</v>
          </cell>
          <cell r="H57">
            <v>131.12724</v>
          </cell>
          <cell r="I57">
            <v>135.06105719999999</v>
          </cell>
          <cell r="J57">
            <v>139.112888916</v>
          </cell>
          <cell r="K57">
            <v>143.28627558348001</v>
          </cell>
          <cell r="L57">
            <v>147.58486385098442</v>
          </cell>
          <cell r="M57">
            <v>152.01240976651397</v>
          </cell>
        </row>
        <row r="58">
          <cell r="E58">
            <v>2138</v>
          </cell>
          <cell r="F58">
            <v>2202.14</v>
          </cell>
          <cell r="G58">
            <v>2268.2042000000001</v>
          </cell>
          <cell r="H58">
            <v>2336.2503260000003</v>
          </cell>
          <cell r="I58">
            <v>2406.3378357800002</v>
          </cell>
          <cell r="J58">
            <v>2478.5279708534003</v>
          </cell>
          <cell r="K58">
            <v>2552.8838099790023</v>
          </cell>
          <cell r="L58">
            <v>2629.4703242783726</v>
          </cell>
          <cell r="M58">
            <v>2708.3544340067237</v>
          </cell>
        </row>
        <row r="63">
          <cell r="E63">
            <v>1472</v>
          </cell>
          <cell r="F63">
            <v>1530.88</v>
          </cell>
          <cell r="G63">
            <v>1592.1152000000002</v>
          </cell>
          <cell r="H63">
            <v>1733.4154240000003</v>
          </cell>
          <cell r="I63">
            <v>1802.7520409600002</v>
          </cell>
          <cell r="J63">
            <v>1874.8621225984002</v>
          </cell>
          <cell r="K63">
            <v>1949.8566075023364</v>
          </cell>
          <cell r="L63">
            <v>2027.85087180243</v>
          </cell>
          <cell r="M63">
            <v>2108.9649066745274</v>
          </cell>
        </row>
        <row r="64">
          <cell r="E64">
            <v>176.64</v>
          </cell>
          <cell r="F64">
            <v>183.7056</v>
          </cell>
          <cell r="G64">
            <v>191.05382400000002</v>
          </cell>
          <cell r="H64">
            <v>208.00985088000002</v>
          </cell>
          <cell r="I64">
            <v>216.33024491520001</v>
          </cell>
          <cell r="J64">
            <v>224.98345471180801</v>
          </cell>
          <cell r="K64">
            <v>233.98279290028034</v>
          </cell>
          <cell r="L64">
            <v>243.34210461629158</v>
          </cell>
          <cell r="M64">
            <v>253.07578880094329</v>
          </cell>
        </row>
        <row r="65">
          <cell r="E65">
            <v>0</v>
          </cell>
          <cell r="F65">
            <v>0</v>
          </cell>
          <cell r="G65">
            <v>0</v>
          </cell>
          <cell r="H65">
            <v>0</v>
          </cell>
          <cell r="I65">
            <v>0</v>
          </cell>
          <cell r="J65">
            <v>0</v>
          </cell>
          <cell r="K65">
            <v>0</v>
          </cell>
          <cell r="L65">
            <v>0</v>
          </cell>
          <cell r="M65">
            <v>0</v>
          </cell>
        </row>
        <row r="66">
          <cell r="E66">
            <v>132.47999999999999</v>
          </cell>
          <cell r="F66">
            <v>137.7792</v>
          </cell>
          <cell r="G66">
            <v>143.290368</v>
          </cell>
          <cell r="H66">
            <v>156.00738816</v>
          </cell>
          <cell r="I66">
            <v>162.24768368639999</v>
          </cell>
          <cell r="J66">
            <v>168.73759103385601</v>
          </cell>
          <cell r="K66">
            <v>175.48709467521027</v>
          </cell>
          <cell r="L66">
            <v>182.5065784622187</v>
          </cell>
          <cell r="M66">
            <v>189.80684160070746</v>
          </cell>
        </row>
        <row r="69">
          <cell r="E69">
            <v>2519</v>
          </cell>
          <cell r="F69">
            <v>2594.5700000000002</v>
          </cell>
          <cell r="G69">
            <v>2672.4071000000004</v>
          </cell>
          <cell r="H69">
            <v>2752.5793130000006</v>
          </cell>
          <cell r="I69">
            <v>2835.1566923900009</v>
          </cell>
          <cell r="J69">
            <v>2920.2113931617009</v>
          </cell>
          <cell r="K69">
            <v>3007.8177349565522</v>
          </cell>
          <cell r="L69">
            <v>3098.0522670052487</v>
          </cell>
          <cell r="M69">
            <v>3190.9938350154061</v>
          </cell>
        </row>
        <row r="70">
          <cell r="E70">
            <v>0</v>
          </cell>
          <cell r="F70">
            <v>0</v>
          </cell>
          <cell r="G70">
            <v>0</v>
          </cell>
          <cell r="H70">
            <v>0</v>
          </cell>
          <cell r="I70">
            <v>0</v>
          </cell>
          <cell r="J70">
            <v>0</v>
          </cell>
          <cell r="K70">
            <v>0</v>
          </cell>
          <cell r="L70">
            <v>0</v>
          </cell>
          <cell r="M70">
            <v>0</v>
          </cell>
        </row>
        <row r="71">
          <cell r="E71">
            <v>113</v>
          </cell>
          <cell r="F71">
            <v>128</v>
          </cell>
          <cell r="G71">
            <v>130.56</v>
          </cell>
          <cell r="H71">
            <v>139.4136</v>
          </cell>
          <cell r="I71">
            <v>142.20187199999998</v>
          </cell>
          <cell r="J71">
            <v>145.04590944</v>
          </cell>
          <cell r="K71">
            <v>147.94682762880001</v>
          </cell>
          <cell r="L71">
            <v>150.90576418137601</v>
          </cell>
          <cell r="M71">
            <v>153.92387946500352</v>
          </cell>
        </row>
        <row r="72">
          <cell r="E72">
            <v>0</v>
          </cell>
          <cell r="F72">
            <v>0</v>
          </cell>
          <cell r="G72">
            <v>0</v>
          </cell>
          <cell r="H72">
            <v>0</v>
          </cell>
          <cell r="I72">
            <v>0</v>
          </cell>
          <cell r="J72">
            <v>0</v>
          </cell>
          <cell r="K72">
            <v>0</v>
          </cell>
          <cell r="L72">
            <v>0</v>
          </cell>
          <cell r="M72">
            <v>0</v>
          </cell>
        </row>
        <row r="73">
          <cell r="E73">
            <v>11</v>
          </cell>
          <cell r="F73">
            <v>11.33</v>
          </cell>
          <cell r="G73">
            <v>11.6699</v>
          </cell>
          <cell r="H73">
            <v>12.019997</v>
          </cell>
          <cell r="I73">
            <v>12.38059691</v>
          </cell>
          <cell r="J73">
            <v>12.752014817299999</v>
          </cell>
          <cell r="K73">
            <v>13.134575261819</v>
          </cell>
          <cell r="L73">
            <v>13.528612519673571</v>
          </cell>
          <cell r="M73">
            <v>13.934470895263779</v>
          </cell>
        </row>
        <row r="74">
          <cell r="E74">
            <v>639</v>
          </cell>
          <cell r="F74">
            <v>658.17000000000007</v>
          </cell>
          <cell r="G74">
            <v>677.91510000000005</v>
          </cell>
          <cell r="H74">
            <v>698.25255300000003</v>
          </cell>
          <cell r="I74">
            <v>719.20012959000007</v>
          </cell>
          <cell r="J74">
            <v>740.77613347770011</v>
          </cell>
          <cell r="K74">
            <v>762.99941748203116</v>
          </cell>
          <cell r="L74">
            <v>785.88940000649211</v>
          </cell>
          <cell r="M74">
            <v>809.46608200668686</v>
          </cell>
        </row>
        <row r="75">
          <cell r="E75">
            <v>1292</v>
          </cell>
          <cell r="F75">
            <v>1330.76</v>
          </cell>
          <cell r="G75">
            <v>1370.6828</v>
          </cell>
          <cell r="H75">
            <v>1411.8032840000001</v>
          </cell>
          <cell r="I75">
            <v>1454.1573825200001</v>
          </cell>
          <cell r="J75">
            <v>1497.7821039956002</v>
          </cell>
          <cell r="K75">
            <v>1542.7155671154683</v>
          </cell>
          <cell r="L75">
            <v>1588.9970341289325</v>
          </cell>
          <cell r="M75">
            <v>1636.6669451528005</v>
          </cell>
        </row>
        <row r="76">
          <cell r="E76">
            <v>674.40000000000009</v>
          </cell>
          <cell r="F76">
            <v>694.63200000000006</v>
          </cell>
          <cell r="G76">
            <v>715.4709600000001</v>
          </cell>
          <cell r="H76">
            <v>736.93508880000013</v>
          </cell>
          <cell r="I76">
            <v>759.0431414640002</v>
          </cell>
          <cell r="J76">
            <v>781.81443570792021</v>
          </cell>
          <cell r="K76">
            <v>805.26886877915786</v>
          </cell>
          <cell r="L76">
            <v>829.42693484253266</v>
          </cell>
          <cell r="M76">
            <v>854.30974288780862</v>
          </cell>
        </row>
        <row r="77">
          <cell r="E77">
            <v>0</v>
          </cell>
          <cell r="F77">
            <v>0</v>
          </cell>
          <cell r="G77">
            <v>0</v>
          </cell>
          <cell r="H77">
            <v>0</v>
          </cell>
          <cell r="I77">
            <v>0</v>
          </cell>
          <cell r="J77">
            <v>0</v>
          </cell>
          <cell r="K77">
            <v>0</v>
          </cell>
          <cell r="L77">
            <v>0</v>
          </cell>
          <cell r="M77">
            <v>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persons/person.xml><?xml version="1.0" encoding="utf-8"?>
<personList xmlns="http://schemas.microsoft.com/office/spreadsheetml/2018/threadedcomments" xmlns:x="http://schemas.openxmlformats.org/spreadsheetml/2006/main">
  <person displayName="Carlos Marquez" id="{957C7A8B-B67F-4E56-9390-F568541557CE}" userId="S::carlos.marquez@perfectday.com::746ef431-8c6f-4aa4-a962-d4b9e4fd9428" providerId="AD"/>
</personList>
</file>

<file path=xl/theme/theme1.xml><?xml version="1.0" encoding="utf-8"?>
<a:theme xmlns:a="http://schemas.openxmlformats.org/drawingml/2006/main" name="Office Theme">
  <a:themeElements>
    <a:clrScheme name="PD Color Palette">
      <a:dk1>
        <a:sysClr val="windowText" lastClr="000000"/>
      </a:dk1>
      <a:lt1>
        <a:sysClr val="window" lastClr="FFFFFF"/>
      </a:lt1>
      <a:dk2>
        <a:srgbClr val="44546A"/>
      </a:dk2>
      <a:lt2>
        <a:srgbClr val="E7E6E6"/>
      </a:lt2>
      <a:accent1>
        <a:srgbClr val="F8F886"/>
      </a:accent1>
      <a:accent2>
        <a:srgbClr val="14245F"/>
      </a:accent2>
      <a:accent3>
        <a:srgbClr val="75D2EB"/>
      </a:accent3>
      <a:accent4>
        <a:srgbClr val="FFAD73"/>
      </a:accent4>
      <a:accent5>
        <a:srgbClr val="FF5341"/>
      </a:accent5>
      <a:accent6>
        <a:srgbClr val="F0F4E9"/>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53" dT="2023-04-04T19:10:52.58" personId="{957C7A8B-B67F-4E56-9390-F568541557CE}" id="{50D5ADB5-2252-41AE-8348-E775B715F0C6}">
    <text>Have added $8m/year for current running depreciation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8" Type="http://schemas.openxmlformats.org/officeDocument/2006/relationships/customProperty" Target="../customProperty7.bin"/><Relationship Id="rId3" Type="http://schemas.openxmlformats.org/officeDocument/2006/relationships/customProperty" Target="../customProperty2.bin"/><Relationship Id="rId7" Type="http://schemas.openxmlformats.org/officeDocument/2006/relationships/customProperty" Target="../customProperty6.bin"/><Relationship Id="rId2" Type="http://schemas.openxmlformats.org/officeDocument/2006/relationships/customProperty" Target="../customProperty1.bin"/><Relationship Id="rId1" Type="http://schemas.openxmlformats.org/officeDocument/2006/relationships/printerSettings" Target="../printerSettings/printerSettings18.bin"/><Relationship Id="rId6" Type="http://schemas.openxmlformats.org/officeDocument/2006/relationships/customProperty" Target="../customProperty5.bin"/><Relationship Id="rId11" Type="http://schemas.openxmlformats.org/officeDocument/2006/relationships/customProperty" Target="../customProperty10.bin"/><Relationship Id="rId5" Type="http://schemas.openxmlformats.org/officeDocument/2006/relationships/customProperty" Target="../customProperty4.bin"/><Relationship Id="rId10" Type="http://schemas.openxmlformats.org/officeDocument/2006/relationships/customProperty" Target="../customProperty9.bin"/><Relationship Id="rId4" Type="http://schemas.openxmlformats.org/officeDocument/2006/relationships/customProperty" Target="../customProperty3.bin"/><Relationship Id="rId9" Type="http://schemas.openxmlformats.org/officeDocument/2006/relationships/customProperty" Target="../customProperty8.bin"/></Relationships>
</file>

<file path=xl/worksheets/_rels/sheet32.xml.rels><?xml version="1.0" encoding="UTF-8" standalone="yes"?>
<Relationships xmlns="http://schemas.openxmlformats.org/package/2006/relationships"><Relationship Id="rId8" Type="http://schemas.openxmlformats.org/officeDocument/2006/relationships/customProperty" Target="../customProperty18.bin"/><Relationship Id="rId3" Type="http://schemas.openxmlformats.org/officeDocument/2006/relationships/customProperty" Target="../customProperty13.bin"/><Relationship Id="rId7" Type="http://schemas.openxmlformats.org/officeDocument/2006/relationships/customProperty" Target="../customProperty17.bin"/><Relationship Id="rId2" Type="http://schemas.openxmlformats.org/officeDocument/2006/relationships/customProperty" Target="../customProperty12.bin"/><Relationship Id="rId1" Type="http://schemas.openxmlformats.org/officeDocument/2006/relationships/customProperty" Target="../customProperty11.bin"/><Relationship Id="rId6" Type="http://schemas.openxmlformats.org/officeDocument/2006/relationships/customProperty" Target="../customProperty16.bin"/><Relationship Id="rId11" Type="http://schemas.openxmlformats.org/officeDocument/2006/relationships/drawing" Target="../drawings/drawing6.xml"/><Relationship Id="rId5" Type="http://schemas.openxmlformats.org/officeDocument/2006/relationships/customProperty" Target="../customProperty15.bin"/><Relationship Id="rId10" Type="http://schemas.openxmlformats.org/officeDocument/2006/relationships/customProperty" Target="../customProperty20.bin"/><Relationship Id="rId4" Type="http://schemas.openxmlformats.org/officeDocument/2006/relationships/customProperty" Target="../customProperty14.bin"/><Relationship Id="rId9" Type="http://schemas.openxmlformats.org/officeDocument/2006/relationships/customProperty" Target="../customProperty19.bin"/></Relationships>
</file>

<file path=xl/worksheets/_rels/sheet33.xml.rels><?xml version="1.0" encoding="UTF-8" standalone="yes"?>
<Relationships xmlns="http://schemas.openxmlformats.org/package/2006/relationships"><Relationship Id="rId8" Type="http://schemas.openxmlformats.org/officeDocument/2006/relationships/customProperty" Target="../customProperty27.bin"/><Relationship Id="rId3" Type="http://schemas.openxmlformats.org/officeDocument/2006/relationships/customProperty" Target="../customProperty22.bin"/><Relationship Id="rId7" Type="http://schemas.openxmlformats.org/officeDocument/2006/relationships/customProperty" Target="../customProperty26.bin"/><Relationship Id="rId2" Type="http://schemas.openxmlformats.org/officeDocument/2006/relationships/customProperty" Target="../customProperty21.bin"/><Relationship Id="rId1" Type="http://schemas.openxmlformats.org/officeDocument/2006/relationships/printerSettings" Target="../printerSettings/printerSettings19.bin"/><Relationship Id="rId6" Type="http://schemas.openxmlformats.org/officeDocument/2006/relationships/customProperty" Target="../customProperty25.bin"/><Relationship Id="rId11" Type="http://schemas.openxmlformats.org/officeDocument/2006/relationships/customProperty" Target="../customProperty30.bin"/><Relationship Id="rId5" Type="http://schemas.openxmlformats.org/officeDocument/2006/relationships/customProperty" Target="../customProperty24.bin"/><Relationship Id="rId10" Type="http://schemas.openxmlformats.org/officeDocument/2006/relationships/customProperty" Target="../customProperty29.bin"/><Relationship Id="rId4" Type="http://schemas.openxmlformats.org/officeDocument/2006/relationships/customProperty" Target="../customProperty23.bin"/><Relationship Id="rId9" Type="http://schemas.openxmlformats.org/officeDocument/2006/relationships/customProperty" Target="../customProperty28.bin"/></Relationships>
</file>

<file path=xl/worksheets/_rels/sheet34.xml.rels><?xml version="1.0" encoding="UTF-8" standalone="yes"?>
<Relationships xmlns="http://schemas.openxmlformats.org/package/2006/relationships"><Relationship Id="rId8" Type="http://schemas.openxmlformats.org/officeDocument/2006/relationships/customProperty" Target="../customProperty38.bin"/><Relationship Id="rId3" Type="http://schemas.openxmlformats.org/officeDocument/2006/relationships/customProperty" Target="../customProperty33.bin"/><Relationship Id="rId7" Type="http://schemas.openxmlformats.org/officeDocument/2006/relationships/customProperty" Target="../customProperty37.bin"/><Relationship Id="rId2" Type="http://schemas.openxmlformats.org/officeDocument/2006/relationships/customProperty" Target="../customProperty32.bin"/><Relationship Id="rId1" Type="http://schemas.openxmlformats.org/officeDocument/2006/relationships/customProperty" Target="../customProperty31.bin"/><Relationship Id="rId6" Type="http://schemas.openxmlformats.org/officeDocument/2006/relationships/customProperty" Target="../customProperty36.bin"/><Relationship Id="rId5" Type="http://schemas.openxmlformats.org/officeDocument/2006/relationships/customProperty" Target="../customProperty35.bin"/><Relationship Id="rId10" Type="http://schemas.openxmlformats.org/officeDocument/2006/relationships/customProperty" Target="../customProperty40.bin"/><Relationship Id="rId4" Type="http://schemas.openxmlformats.org/officeDocument/2006/relationships/customProperty" Target="../customProperty34.bin"/><Relationship Id="rId9" Type="http://schemas.openxmlformats.org/officeDocument/2006/relationships/customProperty" Target="../customProperty3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0297A-9229-4519-B91B-8DA95C0119A3}">
  <sheetPr>
    <tabColor rgb="FF92D050"/>
    <pageSetUpPr fitToPage="1"/>
  </sheetPr>
  <dimension ref="A1:K74"/>
  <sheetViews>
    <sheetView workbookViewId="0"/>
  </sheetViews>
  <sheetFormatPr defaultColWidth="0" defaultRowHeight="13.5"/>
  <cols>
    <col min="1" max="1" width="1.5546875" style="92" customWidth="1"/>
    <col min="2" max="2" width="3.5546875" style="92" customWidth="1"/>
    <col min="3" max="3" width="152.44140625" style="92" bestFit="1" customWidth="1"/>
    <col min="4" max="4" width="7.44140625" style="92" customWidth="1"/>
    <col min="5" max="11" width="0" style="92" hidden="1" customWidth="1"/>
    <col min="12" max="16384" width="7.44140625" style="92" hidden="1"/>
  </cols>
  <sheetData>
    <row r="1" spans="1:11" s="8" customFormat="1" ht="51.75" customHeight="1">
      <c r="A1" s="9"/>
      <c r="B1" s="10" t="s">
        <v>0</v>
      </c>
      <c r="C1" s="10"/>
      <c r="D1" s="11"/>
      <c r="E1" s="11"/>
      <c r="F1" s="11"/>
      <c r="G1" s="11"/>
      <c r="H1" s="11"/>
      <c r="I1" s="11"/>
      <c r="J1" s="11"/>
      <c r="K1" s="11"/>
    </row>
    <row r="2" spans="1:11" s="8" customFormat="1">
      <c r="A2" s="9"/>
      <c r="B2" s="99" t="s">
        <v>1</v>
      </c>
      <c r="C2" s="99"/>
      <c r="D2" s="11"/>
      <c r="E2" s="11"/>
      <c r="F2" s="11"/>
      <c r="G2" s="11"/>
      <c r="H2" s="11"/>
      <c r="I2" s="11"/>
      <c r="J2" s="11"/>
      <c r="K2" s="11"/>
    </row>
    <row r="3" spans="1:11">
      <c r="A3" s="91"/>
    </row>
    <row r="4" spans="1:11">
      <c r="B4" s="93" t="s">
        <v>2</v>
      </c>
      <c r="C4" s="94"/>
    </row>
    <row r="5" spans="1:11" ht="3" customHeight="1"/>
    <row r="6" spans="1:11">
      <c r="B6" s="179">
        <v>1</v>
      </c>
      <c r="C6" s="96" t="s">
        <v>3</v>
      </c>
    </row>
    <row r="7" spans="1:11">
      <c r="B7" s="180">
        <f>B6+1</f>
        <v>2</v>
      </c>
      <c r="C7" s="91" t="s">
        <v>4</v>
      </c>
    </row>
    <row r="8" spans="1:11">
      <c r="B8" s="179">
        <f>B7+1</f>
        <v>3</v>
      </c>
      <c r="C8" s="96" t="s">
        <v>5</v>
      </c>
    </row>
    <row r="9" spans="1:11" ht="4.9000000000000004" customHeight="1">
      <c r="B9" s="180"/>
      <c r="C9" s="91"/>
    </row>
    <row r="10" spans="1:11">
      <c r="B10" s="180"/>
      <c r="C10" s="97" t="s">
        <v>6</v>
      </c>
    </row>
    <row r="11" spans="1:11">
      <c r="B11" s="179">
        <f>B8+1</f>
        <v>4</v>
      </c>
      <c r="C11" s="96" t="s">
        <v>7</v>
      </c>
    </row>
    <row r="12" spans="1:11">
      <c r="B12" s="180">
        <f t="shared" ref="B12:B18" si="0">B11+1</f>
        <v>5</v>
      </c>
      <c r="C12" s="91" t="s">
        <v>8</v>
      </c>
    </row>
    <row r="13" spans="1:11">
      <c r="B13" s="179">
        <f t="shared" si="0"/>
        <v>6</v>
      </c>
      <c r="C13" s="96" t="s">
        <v>9</v>
      </c>
    </row>
    <row r="14" spans="1:11">
      <c r="B14" s="180">
        <f t="shared" si="0"/>
        <v>7</v>
      </c>
      <c r="C14" s="91" t="s">
        <v>10</v>
      </c>
    </row>
    <row r="15" spans="1:11">
      <c r="B15" s="179">
        <f t="shared" si="0"/>
        <v>8</v>
      </c>
      <c r="C15" s="96" t="s">
        <v>11</v>
      </c>
    </row>
    <row r="16" spans="1:11">
      <c r="B16" s="180">
        <f t="shared" si="0"/>
        <v>9</v>
      </c>
      <c r="C16" s="91" t="s">
        <v>12</v>
      </c>
    </row>
    <row r="17" spans="2:3">
      <c r="B17" s="179">
        <f t="shared" si="0"/>
        <v>10</v>
      </c>
      <c r="C17" s="96" t="s">
        <v>13</v>
      </c>
    </row>
    <row r="18" spans="2:3">
      <c r="B18" s="180">
        <f t="shared" si="0"/>
        <v>11</v>
      </c>
      <c r="C18" s="91" t="s">
        <v>14</v>
      </c>
    </row>
    <row r="19" spans="2:3" ht="3.75" customHeight="1">
      <c r="B19" s="180"/>
      <c r="C19" s="91"/>
    </row>
    <row r="20" spans="2:3">
      <c r="B20" s="180"/>
      <c r="C20" s="97" t="s">
        <v>15</v>
      </c>
    </row>
    <row r="21" spans="2:3">
      <c r="B21" s="179">
        <f>B18+1</f>
        <v>12</v>
      </c>
      <c r="C21" s="96" t="s">
        <v>16</v>
      </c>
    </row>
    <row r="22" spans="2:3">
      <c r="B22" s="180">
        <f t="shared" ref="B22:B26" si="1">B21+1</f>
        <v>13</v>
      </c>
      <c r="C22" s="91" t="s">
        <v>17</v>
      </c>
    </row>
    <row r="23" spans="2:3">
      <c r="B23" s="179">
        <f t="shared" si="1"/>
        <v>14</v>
      </c>
      <c r="C23" s="96" t="s">
        <v>18</v>
      </c>
    </row>
    <row r="24" spans="2:3">
      <c r="B24" s="180">
        <f t="shared" si="1"/>
        <v>15</v>
      </c>
      <c r="C24" s="91" t="s">
        <v>19</v>
      </c>
    </row>
    <row r="25" spans="2:3">
      <c r="B25" s="179">
        <f t="shared" si="1"/>
        <v>16</v>
      </c>
      <c r="C25" s="96" t="s">
        <v>20</v>
      </c>
    </row>
    <row r="26" spans="2:3">
      <c r="B26" s="180">
        <f t="shared" si="1"/>
        <v>17</v>
      </c>
      <c r="C26" s="91" t="s">
        <v>21</v>
      </c>
    </row>
    <row r="27" spans="2:3" ht="3.75" customHeight="1">
      <c r="B27" s="180"/>
      <c r="C27" s="91"/>
    </row>
    <row r="28" spans="2:3">
      <c r="B28" s="180"/>
      <c r="C28" s="97" t="s">
        <v>22</v>
      </c>
    </row>
    <row r="29" spans="2:3">
      <c r="B29" s="179">
        <f>B26+1</f>
        <v>18</v>
      </c>
      <c r="C29" s="96" t="s">
        <v>23</v>
      </c>
    </row>
    <row r="30" spans="2:3">
      <c r="B30" s="180">
        <f>B29+1</f>
        <v>19</v>
      </c>
      <c r="C30" s="91" t="s">
        <v>24</v>
      </c>
    </row>
    <row r="31" spans="2:3">
      <c r="B31" s="179">
        <f t="shared" ref="B31" si="2">B30+1</f>
        <v>20</v>
      </c>
      <c r="C31" s="96" t="s">
        <v>25</v>
      </c>
    </row>
    <row r="32" spans="2:3" ht="3.75" customHeight="1"/>
    <row r="33" spans="1:3">
      <c r="B33" s="93" t="s">
        <v>26</v>
      </c>
      <c r="C33" s="94"/>
    </row>
    <row r="34" spans="1:3" ht="3.75" customHeight="1"/>
    <row r="35" spans="1:3">
      <c r="B35" s="98"/>
      <c r="C35" s="97" t="s">
        <v>27</v>
      </c>
    </row>
    <row r="36" spans="1:3">
      <c r="A36" s="195"/>
      <c r="B36" s="95">
        <f>B31+1</f>
        <v>21</v>
      </c>
      <c r="C36" s="96" t="s">
        <v>28</v>
      </c>
    </row>
    <row r="37" spans="1:3">
      <c r="A37" s="195"/>
      <c r="B37" s="92">
        <f t="shared" ref="B37:B46" si="3">B36+1</f>
        <v>22</v>
      </c>
      <c r="C37" s="91" t="s">
        <v>29</v>
      </c>
    </row>
    <row r="38" spans="1:3">
      <c r="A38" s="195"/>
      <c r="B38" s="95">
        <f t="shared" si="3"/>
        <v>23</v>
      </c>
      <c r="C38" s="96" t="s">
        <v>30</v>
      </c>
    </row>
    <row r="39" spans="1:3">
      <c r="A39" s="195"/>
      <c r="B39" s="92">
        <f t="shared" si="3"/>
        <v>24</v>
      </c>
      <c r="C39" s="91" t="s">
        <v>31</v>
      </c>
    </row>
    <row r="40" spans="1:3">
      <c r="A40" s="195"/>
      <c r="B40" s="95">
        <f t="shared" si="3"/>
        <v>25</v>
      </c>
      <c r="C40" s="96" t="s">
        <v>32</v>
      </c>
    </row>
    <row r="41" spans="1:3">
      <c r="A41" s="195"/>
      <c r="B41" s="92">
        <f t="shared" si="3"/>
        <v>26</v>
      </c>
      <c r="C41" s="91" t="s">
        <v>33</v>
      </c>
    </row>
    <row r="42" spans="1:3">
      <c r="A42" s="195"/>
      <c r="B42" s="95">
        <f t="shared" si="3"/>
        <v>27</v>
      </c>
      <c r="C42" s="96" t="s">
        <v>34</v>
      </c>
    </row>
    <row r="43" spans="1:3">
      <c r="A43" s="195"/>
      <c r="B43" s="92">
        <f t="shared" si="3"/>
        <v>28</v>
      </c>
      <c r="C43" s="91" t="s">
        <v>35</v>
      </c>
    </row>
    <row r="44" spans="1:3">
      <c r="A44" s="195"/>
      <c r="B44" s="95">
        <f t="shared" si="3"/>
        <v>29</v>
      </c>
      <c r="C44" s="96" t="s">
        <v>36</v>
      </c>
    </row>
    <row r="45" spans="1:3">
      <c r="A45" s="195"/>
      <c r="B45" s="92">
        <f t="shared" si="3"/>
        <v>30</v>
      </c>
      <c r="C45" s="91" t="s">
        <v>37</v>
      </c>
    </row>
    <row r="46" spans="1:3">
      <c r="A46" s="195"/>
      <c r="B46" s="95">
        <f t="shared" si="3"/>
        <v>31</v>
      </c>
      <c r="C46" s="96" t="s">
        <v>38</v>
      </c>
    </row>
    <row r="47" spans="1:3" ht="3" customHeight="1">
      <c r="A47" s="195"/>
    </row>
    <row r="48" spans="1:3">
      <c r="A48" s="195"/>
      <c r="B48" s="98"/>
      <c r="C48" s="97" t="s">
        <v>39</v>
      </c>
    </row>
    <row r="49" spans="1:3">
      <c r="A49" s="195"/>
      <c r="B49" s="95">
        <f>B46+1</f>
        <v>32</v>
      </c>
      <c r="C49" s="96" t="s">
        <v>40</v>
      </c>
    </row>
    <row r="50" spans="1:3">
      <c r="A50" s="195"/>
      <c r="B50" s="92">
        <f t="shared" ref="B50:B57" si="4">B49+1</f>
        <v>33</v>
      </c>
      <c r="C50" s="91" t="s">
        <v>41</v>
      </c>
    </row>
    <row r="51" spans="1:3">
      <c r="A51" s="195"/>
      <c r="B51" s="95">
        <f t="shared" si="4"/>
        <v>34</v>
      </c>
      <c r="C51" s="96" t="s">
        <v>42</v>
      </c>
    </row>
    <row r="52" spans="1:3">
      <c r="A52" s="195"/>
      <c r="B52" s="92">
        <f t="shared" si="4"/>
        <v>35</v>
      </c>
      <c r="C52" s="91" t="s">
        <v>43</v>
      </c>
    </row>
    <row r="53" spans="1:3">
      <c r="A53" s="195"/>
      <c r="B53" s="95">
        <f t="shared" si="4"/>
        <v>36</v>
      </c>
      <c r="C53" s="96" t="s">
        <v>44</v>
      </c>
    </row>
    <row r="54" spans="1:3">
      <c r="A54" s="195"/>
      <c r="B54" s="92">
        <f t="shared" si="4"/>
        <v>37</v>
      </c>
      <c r="C54" s="91" t="s">
        <v>45</v>
      </c>
    </row>
    <row r="55" spans="1:3">
      <c r="A55" s="195"/>
      <c r="B55" s="95">
        <f t="shared" si="4"/>
        <v>38</v>
      </c>
      <c r="C55" s="96" t="s">
        <v>46</v>
      </c>
    </row>
    <row r="56" spans="1:3">
      <c r="A56" s="195"/>
      <c r="B56" s="92">
        <f t="shared" si="4"/>
        <v>39</v>
      </c>
      <c r="C56" s="91" t="s">
        <v>47</v>
      </c>
    </row>
    <row r="57" spans="1:3">
      <c r="A57" s="195"/>
      <c r="B57" s="95">
        <f t="shared" si="4"/>
        <v>40</v>
      </c>
      <c r="C57" s="96" t="s">
        <v>48</v>
      </c>
    </row>
    <row r="58" spans="1:3" ht="3" customHeight="1">
      <c r="A58" s="195"/>
    </row>
    <row r="59" spans="1:3">
      <c r="A59" s="195"/>
      <c r="B59" s="98"/>
      <c r="C59" s="97" t="s">
        <v>49</v>
      </c>
    </row>
    <row r="60" spans="1:3">
      <c r="A60" s="195"/>
      <c r="B60" s="95">
        <f>B57+1</f>
        <v>41</v>
      </c>
      <c r="C60" s="96" t="s">
        <v>50</v>
      </c>
    </row>
    <row r="61" spans="1:3">
      <c r="A61" s="195"/>
      <c r="B61" s="92">
        <f t="shared" ref="B61:B74" si="5">B60+1</f>
        <v>42</v>
      </c>
      <c r="C61" s="91" t="s">
        <v>51</v>
      </c>
    </row>
    <row r="62" spans="1:3">
      <c r="A62" s="195"/>
      <c r="B62" s="95">
        <f>B61+1</f>
        <v>43</v>
      </c>
      <c r="C62" s="96" t="s">
        <v>52</v>
      </c>
    </row>
    <row r="63" spans="1:3">
      <c r="A63" s="195"/>
      <c r="B63" s="92">
        <f t="shared" si="5"/>
        <v>44</v>
      </c>
      <c r="C63" s="91" t="s">
        <v>53</v>
      </c>
    </row>
    <row r="64" spans="1:3">
      <c r="A64" s="195"/>
      <c r="B64" s="95">
        <f t="shared" si="5"/>
        <v>45</v>
      </c>
      <c r="C64" s="96" t="s">
        <v>54</v>
      </c>
    </row>
    <row r="65" spans="1:3" ht="3" customHeight="1">
      <c r="A65" s="195"/>
    </row>
    <row r="66" spans="1:3">
      <c r="A66" s="195"/>
      <c r="B66" s="98"/>
      <c r="C66" s="97" t="s">
        <v>55</v>
      </c>
    </row>
    <row r="67" spans="1:3">
      <c r="A67" s="195"/>
      <c r="B67" s="95">
        <f>B64+1</f>
        <v>46</v>
      </c>
      <c r="C67" s="96" t="s">
        <v>56</v>
      </c>
    </row>
    <row r="68" spans="1:3">
      <c r="A68" s="195"/>
      <c r="B68" s="92">
        <f t="shared" si="5"/>
        <v>47</v>
      </c>
      <c r="C68" s="91" t="s">
        <v>57</v>
      </c>
    </row>
    <row r="69" spans="1:3">
      <c r="A69" s="195"/>
      <c r="B69" s="95">
        <f t="shared" si="5"/>
        <v>48</v>
      </c>
      <c r="C69" s="96" t="s">
        <v>58</v>
      </c>
    </row>
    <row r="70" spans="1:3" ht="3" customHeight="1">
      <c r="A70" s="195"/>
    </row>
    <row r="71" spans="1:3">
      <c r="A71" s="195"/>
      <c r="B71" s="98"/>
      <c r="C71" s="97" t="s">
        <v>59</v>
      </c>
    </row>
    <row r="72" spans="1:3">
      <c r="A72" s="195"/>
      <c r="B72" s="95">
        <f>B69+1</f>
        <v>49</v>
      </c>
      <c r="C72" s="96" t="s">
        <v>60</v>
      </c>
    </row>
    <row r="73" spans="1:3">
      <c r="A73" s="195"/>
      <c r="B73" s="92">
        <f t="shared" si="5"/>
        <v>50</v>
      </c>
      <c r="C73" s="91" t="s">
        <v>61</v>
      </c>
    </row>
    <row r="74" spans="1:3">
      <c r="A74" s="195"/>
      <c r="B74" s="95">
        <f t="shared" si="5"/>
        <v>51</v>
      </c>
      <c r="C74" s="96" t="s">
        <v>62</v>
      </c>
    </row>
  </sheetData>
  <pageMargins left="0.7" right="0.7" top="0.75" bottom="0.75" header="0.3" footer="0.3"/>
  <pageSetup scale="63" fitToHeight="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F92E1-F3AE-4BA7-852B-F96C88549FFA}">
  <dimension ref="C4:M41"/>
  <sheetViews>
    <sheetView workbookViewId="0"/>
  </sheetViews>
  <sheetFormatPr defaultRowHeight="15"/>
  <cols>
    <col min="3" max="3" width="10.44140625" bestFit="1" customWidth="1"/>
    <col min="4" max="7" width="9" bestFit="1" customWidth="1"/>
    <col min="8" max="8" width="9.5546875" bestFit="1" customWidth="1"/>
    <col min="9" max="9" width="9" bestFit="1" customWidth="1"/>
    <col min="10" max="10" width="9.44140625" bestFit="1" customWidth="1"/>
    <col min="11" max="12" width="9" bestFit="1" customWidth="1"/>
    <col min="13" max="13" width="9.44140625" bestFit="1" customWidth="1"/>
  </cols>
  <sheetData>
    <row r="4" spans="3:13">
      <c r="C4" t="s">
        <v>94</v>
      </c>
      <c r="D4" s="394" t="s">
        <v>526</v>
      </c>
      <c r="E4" s="394" t="s">
        <v>527</v>
      </c>
      <c r="F4" s="394" t="s">
        <v>528</v>
      </c>
      <c r="G4" s="394" t="s">
        <v>529</v>
      </c>
      <c r="H4" s="394" t="s">
        <v>530</v>
      </c>
      <c r="I4" s="394" t="s">
        <v>531</v>
      </c>
      <c r="J4" s="394" t="s">
        <v>532</v>
      </c>
      <c r="K4" s="394" t="s">
        <v>533</v>
      </c>
      <c r="L4" s="394" t="s">
        <v>534</v>
      </c>
      <c r="M4" s="394" t="s">
        <v>535</v>
      </c>
    </row>
    <row r="5" spans="3:13">
      <c r="C5" t="s">
        <v>523</v>
      </c>
      <c r="D5" s="397" t="e">
        <f>'PD Global'!#REF!/1000</f>
        <v>#REF!</v>
      </c>
      <c r="E5" s="397">
        <f>'PD Global'!C24/1000</f>
        <v>9.3728638356164389</v>
      </c>
      <c r="F5" s="397">
        <f>'PD Global'!D24/1000</f>
        <v>20.764602739726026</v>
      </c>
      <c r="G5" s="397">
        <f>'PD Global'!E24/1000</f>
        <v>62.425699917465749</v>
      </c>
      <c r="H5" s="397">
        <f>'PD Global'!F24/1000</f>
        <v>218.96345555057536</v>
      </c>
      <c r="I5" s="397">
        <f>'PD Global'!G24/1000</f>
        <v>435.91955422389213</v>
      </c>
      <c r="J5" s="397">
        <f>'PD Global'!H24/1000</f>
        <v>487.45342836657528</v>
      </c>
      <c r="K5" s="397">
        <f>'PD Global'!I24/1000</f>
        <v>523.77685302410953</v>
      </c>
      <c r="L5" s="397">
        <f>'PD Global'!J24/1000</f>
        <v>539.39329138027392</v>
      </c>
      <c r="M5" s="397">
        <f>'PD Global'!K24/1000</f>
        <v>542.42753795561634</v>
      </c>
    </row>
    <row r="6" spans="3:13">
      <c r="C6" t="s">
        <v>73</v>
      </c>
      <c r="D6" s="397" t="e">
        <f>'PD Global'!#REF!/1000</f>
        <v>#REF!</v>
      </c>
      <c r="E6" s="397">
        <f>'PD Global'!C35/1000</f>
        <v>10.768000000000001</v>
      </c>
      <c r="F6" s="397">
        <f>'PD Global'!D35/1000</f>
        <v>3.8781999999999996</v>
      </c>
      <c r="G6" s="397">
        <f>'PD Global'!E35/1000</f>
        <v>1.6893638000000002</v>
      </c>
      <c r="H6" s="397">
        <f>'PD Global'!F35/1000</f>
        <v>0</v>
      </c>
      <c r="I6" s="397">
        <f>'PD Global'!G35/1000</f>
        <v>0</v>
      </c>
      <c r="J6" s="397">
        <f>'PD Global'!H35/1000</f>
        <v>0</v>
      </c>
      <c r="K6" s="397">
        <f>'PD Global'!I35/1000</f>
        <v>0</v>
      </c>
      <c r="L6" s="397">
        <f>'PD Global'!J35/1000</f>
        <v>0</v>
      </c>
      <c r="M6" s="397">
        <f>'PD Global'!K35/1000</f>
        <v>0</v>
      </c>
    </row>
    <row r="7" spans="3:13">
      <c r="C7" t="s">
        <v>524</v>
      </c>
      <c r="D7" s="397" t="e">
        <f>('PD Global'!#REF! + 'PD Global'!#REF!) / 1000</f>
        <v>#REF!</v>
      </c>
      <c r="E7" s="397">
        <f>('PD Global'!C37 + 'PD Global'!C36) / 1000</f>
        <v>0</v>
      </c>
      <c r="F7" s="397">
        <f>('PD Global'!D37 + 'PD Global'!D36) / 1000</f>
        <v>0</v>
      </c>
      <c r="G7" s="397">
        <f>('PD Global'!E37 + 'PD Global'!E36) / 1000</f>
        <v>0</v>
      </c>
      <c r="H7" s="397">
        <f>('PD Global'!F37 + 'PD Global'!F36) / 1000</f>
        <v>0</v>
      </c>
      <c r="I7" s="397">
        <f>('PD Global'!G37 + 'PD Global'!G36) / 1000</f>
        <v>0</v>
      </c>
      <c r="J7" s="397">
        <f>('PD Global'!H37 + 'PD Global'!H36) / 1000</f>
        <v>0</v>
      </c>
      <c r="K7" s="397">
        <f>('PD Global'!I37 + 'PD Global'!I36) / 1000</f>
        <v>0</v>
      </c>
      <c r="L7" s="397">
        <f>('PD Global'!J37 + 'PD Global'!J36) / 1000</f>
        <v>0</v>
      </c>
      <c r="M7" s="397">
        <f>('PD Global'!K37 + 'PD Global'!K36) / 1000</f>
        <v>0</v>
      </c>
    </row>
    <row r="8" spans="3:13">
      <c r="C8" t="s">
        <v>525</v>
      </c>
      <c r="D8" s="397" t="e">
        <f>'PD Global'!#REF! / 1000</f>
        <v>#REF!</v>
      </c>
      <c r="E8" s="397">
        <f>'PD Global'!C38 / 1000</f>
        <v>5.4</v>
      </c>
      <c r="F8" s="397">
        <f>'PD Global'!D38 / 1000</f>
        <v>12.923999999999999</v>
      </c>
      <c r="G8" s="397">
        <f>'PD Global'!E38 / 1000</f>
        <v>22.310050000000004</v>
      </c>
      <c r="H8" s="397">
        <f>'PD Global'!F38 / 1000</f>
        <v>43.807395000000007</v>
      </c>
      <c r="I8" s="397">
        <f>'PD Global'!G38 / 1000</f>
        <v>46.072764750000005</v>
      </c>
      <c r="J8" s="397">
        <f>'PD Global'!H38 / 1000</f>
        <v>48.773902987499994</v>
      </c>
      <c r="K8" s="397">
        <f>'PD Global'!I38 / 1000</f>
        <v>51.414348136874999</v>
      </c>
      <c r="L8" s="397">
        <f>'PD Global'!J38 / 1000</f>
        <v>54.547340543718768</v>
      </c>
      <c r="M8" s="397">
        <f>'PD Global'!K38 / 1000</f>
        <v>57.690665070904686</v>
      </c>
    </row>
    <row r="9" spans="3:13">
      <c r="D9" s="396" t="e">
        <f>SUM(D5:D8)</f>
        <v>#REF!</v>
      </c>
      <c r="E9" s="396">
        <f t="shared" ref="E9:M9" si="0">SUM(E5:E8)</f>
        <v>25.540863835616442</v>
      </c>
      <c r="F9" s="396">
        <f t="shared" si="0"/>
        <v>37.566802739726029</v>
      </c>
      <c r="G9" s="396">
        <f t="shared" si="0"/>
        <v>86.425113717465749</v>
      </c>
      <c r="H9" s="396">
        <f t="shared" si="0"/>
        <v>262.77085055057535</v>
      </c>
      <c r="I9" s="396">
        <f t="shared" si="0"/>
        <v>481.99231897389211</v>
      </c>
      <c r="J9" s="396">
        <f t="shared" si="0"/>
        <v>536.22733135407532</v>
      </c>
      <c r="K9" s="396">
        <f t="shared" si="0"/>
        <v>575.19120116098452</v>
      </c>
      <c r="L9" s="396">
        <f t="shared" si="0"/>
        <v>593.94063192399267</v>
      </c>
      <c r="M9" s="396">
        <f t="shared" si="0"/>
        <v>600.11820302652109</v>
      </c>
    </row>
    <row r="35" spans="3:13">
      <c r="C35" t="s">
        <v>536</v>
      </c>
      <c r="D35" t="str">
        <f>D4</f>
        <v>2022</v>
      </c>
      <c r="E35" t="str">
        <f t="shared" ref="E35:M35" si="1">E4</f>
        <v>2023</v>
      </c>
      <c r="F35" t="str">
        <f t="shared" si="1"/>
        <v>2024</v>
      </c>
      <c r="G35" t="str">
        <f t="shared" si="1"/>
        <v>2025</v>
      </c>
      <c r="H35" t="str">
        <f t="shared" si="1"/>
        <v>2026</v>
      </c>
      <c r="I35" t="str">
        <f t="shared" si="1"/>
        <v>2027</v>
      </c>
      <c r="J35" t="str">
        <f t="shared" si="1"/>
        <v>2028</v>
      </c>
      <c r="K35" t="str">
        <f t="shared" si="1"/>
        <v>2029</v>
      </c>
      <c r="L35" t="str">
        <f t="shared" si="1"/>
        <v>2030</v>
      </c>
      <c r="M35" t="str">
        <f t="shared" si="1"/>
        <v>2031</v>
      </c>
    </row>
    <row r="36" spans="3:13">
      <c r="C36" t="s">
        <v>109</v>
      </c>
      <c r="D36" s="395">
        <f>Ingredients!D9+Ingredients!O9</f>
        <v>0</v>
      </c>
      <c r="E36" s="395">
        <f>Ingredients!E9+Ingredients!P9</f>
        <v>0</v>
      </c>
      <c r="F36" s="395">
        <f>Ingredients!F9+Ingredients!Q9</f>
        <v>0</v>
      </c>
      <c r="G36" s="395">
        <f>Ingredients!G9+Ingredients!R9</f>
        <v>2519.2859999999996</v>
      </c>
      <c r="H36" s="395">
        <f>Ingredients!H9+Ingredients!S9</f>
        <v>7197.9599999999991</v>
      </c>
      <c r="I36" s="395">
        <f>Ingredients!I9+Ingredients!T9</f>
        <v>10197.959999999999</v>
      </c>
      <c r="J36" s="395">
        <f>Ingredients!J9+Ingredients!U9</f>
        <v>12197.96</v>
      </c>
      <c r="K36" s="395">
        <f>Ingredients!K9+Ingredients!V9</f>
        <v>12197.96</v>
      </c>
      <c r="L36" s="395">
        <f>Ingredients!L9+Ingredients!W9</f>
        <v>12197.96</v>
      </c>
      <c r="M36" s="395">
        <f>Ingredients!M9+Ingredients!X9</f>
        <v>12197.96</v>
      </c>
    </row>
    <row r="37" spans="3:13">
      <c r="C37" t="s">
        <v>421</v>
      </c>
      <c r="D37" s="395">
        <f>Ingredients!D13+Ingredients!O13</f>
        <v>0</v>
      </c>
      <c r="E37" s="395">
        <f>Ingredients!E13+Ingredients!P13</f>
        <v>0</v>
      </c>
      <c r="F37" s="395">
        <f>Ingredients!F13+Ingredients!Q13</f>
        <v>0</v>
      </c>
      <c r="G37" s="395">
        <f>Ingredients!G13+Ingredients!R13</f>
        <v>0</v>
      </c>
      <c r="H37" s="395">
        <f>Ingredients!H13+Ingredients!S13</f>
        <v>2687.2383999999997</v>
      </c>
      <c r="I37" s="395">
        <f>Ingredients!I13+Ingredients!T13</f>
        <v>7677.8239999999996</v>
      </c>
      <c r="J37" s="395">
        <f>Ingredients!J13+Ingredients!U13</f>
        <v>7677.8239999999996</v>
      </c>
      <c r="K37" s="395">
        <f>Ingredients!K13+Ingredients!V13</f>
        <v>7677.8239999999996</v>
      </c>
      <c r="L37" s="395">
        <f>Ingredients!L13+Ingredients!W13</f>
        <v>7677.8239999999996</v>
      </c>
      <c r="M37" s="395">
        <f>Ingredients!M13+Ingredients!X13</f>
        <v>7677.8239999999996</v>
      </c>
    </row>
    <row r="38" spans="3:13">
      <c r="C38" t="s">
        <v>519</v>
      </c>
      <c r="D38" s="395">
        <f>Ingredients!D17+Ingredients!O17</f>
        <v>0</v>
      </c>
      <c r="E38" s="395">
        <f>Ingredients!E17+Ingredients!P17</f>
        <v>0</v>
      </c>
      <c r="F38" s="395">
        <f>Ingredients!F17+Ingredients!Q17</f>
        <v>0</v>
      </c>
      <c r="G38" s="395">
        <f>Ingredients!G17+Ingredients!R17</f>
        <v>0</v>
      </c>
      <c r="H38" s="395">
        <f>Ingredients!H17+Ingredients!S17</f>
        <v>2687.2383999999997</v>
      </c>
      <c r="I38" s="395">
        <f>Ingredients!I17+Ingredients!T17</f>
        <v>7677.8239999999996</v>
      </c>
      <c r="J38" s="395">
        <f>Ingredients!J17+Ingredients!U17</f>
        <v>7677.8239999999996</v>
      </c>
      <c r="K38" s="395">
        <f>Ingredients!K17+Ingredients!V17</f>
        <v>7677.8239999999996</v>
      </c>
      <c r="L38" s="395">
        <f>Ingredients!L17+Ingredients!W17</f>
        <v>7677.8239999999996</v>
      </c>
      <c r="M38" s="395">
        <f>Ingredients!M17+Ingredients!X17</f>
        <v>7677.8239999999996</v>
      </c>
    </row>
    <row r="39" spans="3:13">
      <c r="C39" t="s">
        <v>340</v>
      </c>
      <c r="D39" s="395">
        <f>Ingredients!D30+Ingredients!O30</f>
        <v>0</v>
      </c>
      <c r="E39" s="395">
        <f>Ingredients!E30+Ingredients!P30</f>
        <v>230</v>
      </c>
      <c r="F39" s="395">
        <f>Ingredients!F30+Ingredients!Q30</f>
        <v>890</v>
      </c>
      <c r="G39" s="395">
        <f>Ingredients!G30+Ingredients!R30</f>
        <v>1020</v>
      </c>
      <c r="H39" s="395">
        <f>Ingredients!H30+Ingredients!S30</f>
        <v>1020</v>
      </c>
      <c r="I39" s="395">
        <f>Ingredients!I30+Ingredients!T30</f>
        <v>0</v>
      </c>
      <c r="J39" s="395">
        <f>Ingredients!J30+Ingredients!U30</f>
        <v>0</v>
      </c>
      <c r="K39" s="395">
        <f>Ingredients!K30+Ingredients!V30</f>
        <v>0</v>
      </c>
      <c r="L39" s="395">
        <f>Ingredients!L30+Ingredients!W30</f>
        <v>0</v>
      </c>
      <c r="M39" s="395">
        <f>Ingredients!M30+Ingredients!X30</f>
        <v>0</v>
      </c>
    </row>
    <row r="40" spans="3:13">
      <c r="C40" t="s">
        <v>537</v>
      </c>
      <c r="D40" s="395">
        <f>Ingredients!D22+Ingredients!D26+Ingredients!O22+Ingredients!O26</f>
        <v>0</v>
      </c>
      <c r="E40" s="395">
        <f>Ingredients!E22+Ingredients!E26+Ingredients!P22+Ingredients!P26</f>
        <v>314</v>
      </c>
      <c r="F40" s="395">
        <f>Ingredients!F22+Ingredients!F26+Ingredients!Q22+Ingredients!Q26</f>
        <v>418</v>
      </c>
      <c r="G40" s="395">
        <f>Ingredients!G22+Ingredients!G26+Ingredients!R22+Ingredients!R26</f>
        <v>300</v>
      </c>
      <c r="H40" s="395">
        <f>Ingredients!H22+Ingredients!H26+Ingredients!S22+Ingredients!S26</f>
        <v>300</v>
      </c>
      <c r="I40" s="395">
        <f>Ingredients!I22+Ingredients!I26+Ingredients!T22+Ingredients!T26</f>
        <v>0</v>
      </c>
      <c r="J40" s="395">
        <f>Ingredients!J22+Ingredients!J26+Ingredients!U22+Ingredients!U26</f>
        <v>0</v>
      </c>
      <c r="K40" s="395">
        <f>Ingredients!K22+Ingredients!K26+Ingredients!V22+Ingredients!V26</f>
        <v>0</v>
      </c>
      <c r="L40" s="395">
        <f>Ingredients!L22+Ingredients!L26+Ingredients!W22+Ingredients!W26</f>
        <v>0</v>
      </c>
      <c r="M40" s="395">
        <f>Ingredients!M22+Ingredients!M26+Ingredients!X22+Ingredients!X26</f>
        <v>0</v>
      </c>
    </row>
    <row r="41" spans="3:13">
      <c r="D41" s="398">
        <f>SUM(D36:D40)</f>
        <v>0</v>
      </c>
      <c r="E41" s="398">
        <f t="shared" ref="E41:M41" si="2">SUM(E36:E40)</f>
        <v>544</v>
      </c>
      <c r="F41" s="398">
        <f t="shared" si="2"/>
        <v>1308</v>
      </c>
      <c r="G41" s="398">
        <f t="shared" si="2"/>
        <v>3839.2859999999996</v>
      </c>
      <c r="H41" s="398">
        <f t="shared" si="2"/>
        <v>13892.436799999999</v>
      </c>
      <c r="I41" s="398">
        <f t="shared" si="2"/>
        <v>25553.608</v>
      </c>
      <c r="J41" s="398">
        <f t="shared" si="2"/>
        <v>27553.608</v>
      </c>
      <c r="K41" s="398">
        <f t="shared" si="2"/>
        <v>27553.608</v>
      </c>
      <c r="L41" s="398">
        <f t="shared" si="2"/>
        <v>27553.608</v>
      </c>
      <c r="M41" s="398">
        <f t="shared" si="2"/>
        <v>27553.608</v>
      </c>
    </row>
  </sheetData>
  <phoneticPr fontId="8"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7EA83-8837-4F51-B023-54A210799816}">
  <sheetPr>
    <tabColor theme="7" tint="-0.499984740745262"/>
    <pageSetUpPr fitToPage="1"/>
  </sheetPr>
  <dimension ref="A1:P312"/>
  <sheetViews>
    <sheetView tabSelected="1" topLeftCell="A171" zoomScale="130" zoomScaleNormal="130" workbookViewId="0">
      <selection activeCell="E188" sqref="E188"/>
    </sheetView>
  </sheetViews>
  <sheetFormatPr defaultColWidth="0" defaultRowHeight="13.5" zeroHeight="1" outlineLevelRow="1"/>
  <cols>
    <col min="1" max="1" width="1.5546875" style="8" customWidth="1"/>
    <col min="2" max="2" width="27.6640625" style="8" bestFit="1" customWidth="1"/>
    <col min="3" max="11" width="12.5546875" style="8" customWidth="1"/>
    <col min="12" max="12" width="1.5546875" style="8" customWidth="1"/>
    <col min="13" max="13" width="45.44140625" style="18" customWidth="1"/>
    <col min="14" max="14" width="1.5546875" style="8" customWidth="1"/>
    <col min="15" max="16" width="0" style="8" hidden="1" customWidth="1"/>
    <col min="17" max="16384" width="8.5546875" style="8" hidden="1"/>
  </cols>
  <sheetData>
    <row r="1" spans="1:16" ht="70.5" customHeight="1">
      <c r="A1" s="452"/>
      <c r="B1" s="10" t="s">
        <v>63</v>
      </c>
      <c r="C1" s="11"/>
      <c r="D1" s="11"/>
      <c r="E1" s="11"/>
      <c r="F1" s="11"/>
      <c r="G1" s="11"/>
      <c r="H1" s="11"/>
      <c r="I1" s="11"/>
      <c r="J1" s="11"/>
      <c r="K1" s="11"/>
      <c r="L1" s="11"/>
      <c r="M1" s="11"/>
      <c r="N1" s="11"/>
      <c r="O1" s="11"/>
      <c r="P1" s="11"/>
    </row>
    <row r="2" spans="1:16">
      <c r="C2" s="263"/>
      <c r="H2" s="284"/>
      <c r="M2" s="8"/>
    </row>
    <row r="3" spans="1:16">
      <c r="C3" s="263"/>
      <c r="H3" s="284"/>
      <c r="K3" s="405"/>
      <c r="L3" s="100"/>
    </row>
    <row r="4" spans="1:16">
      <c r="C4" s="263"/>
      <c r="H4" s="284"/>
      <c r="M4" s="8"/>
    </row>
    <row r="5" spans="1:16">
      <c r="B5" s="439" t="s">
        <v>64</v>
      </c>
      <c r="C5" s="440">
        <v>2023</v>
      </c>
      <c r="D5" s="440">
        <f t="shared" ref="D5:K5" si="0">C5+1</f>
        <v>2024</v>
      </c>
      <c r="E5" s="440">
        <f t="shared" si="0"/>
        <v>2025</v>
      </c>
      <c r="F5" s="440">
        <f t="shared" si="0"/>
        <v>2026</v>
      </c>
      <c r="G5" s="561">
        <f t="shared" si="0"/>
        <v>2027</v>
      </c>
      <c r="H5" s="440">
        <f t="shared" si="0"/>
        <v>2028</v>
      </c>
      <c r="I5" s="440">
        <f t="shared" si="0"/>
        <v>2029</v>
      </c>
      <c r="J5" s="440">
        <f t="shared" si="0"/>
        <v>2030</v>
      </c>
      <c r="K5" s="440">
        <f t="shared" si="0"/>
        <v>2031</v>
      </c>
      <c r="M5" s="440" t="s">
        <v>65</v>
      </c>
    </row>
    <row r="6" spans="1:16" ht="3.75" customHeight="1">
      <c r="C6" s="14"/>
      <c r="D6" s="14"/>
      <c r="E6" s="14"/>
      <c r="F6" s="14"/>
      <c r="G6" s="14"/>
      <c r="H6" s="14"/>
      <c r="I6" s="14"/>
      <c r="J6" s="14"/>
      <c r="K6" s="14"/>
      <c r="M6" s="8"/>
    </row>
    <row r="7" spans="1:16">
      <c r="B7" s="495" t="s">
        <v>645</v>
      </c>
      <c r="C7" s="105"/>
      <c r="D7" s="105"/>
      <c r="E7" s="105"/>
      <c r="F7" s="105"/>
      <c r="G7" s="105"/>
      <c r="H7" s="105"/>
      <c r="I7" s="105"/>
      <c r="J7" s="105"/>
      <c r="K7" s="105"/>
      <c r="M7" s="8"/>
    </row>
    <row r="8" spans="1:16">
      <c r="B8" s="103" t="s">
        <v>546</v>
      </c>
      <c r="C8" s="1">
        <f>SUM(C9:C10)</f>
        <v>544</v>
      </c>
      <c r="D8" s="1">
        <f t="shared" ref="D8:K8" si="1">SUM(D9:D10)</f>
        <v>1308</v>
      </c>
      <c r="E8" s="1">
        <f t="shared" si="1"/>
        <v>3839.2859999999996</v>
      </c>
      <c r="F8" s="1">
        <f t="shared" si="1"/>
        <v>13892.436799999999</v>
      </c>
      <c r="G8" s="1">
        <f t="shared" si="1"/>
        <v>25553.607999999997</v>
      </c>
      <c r="H8" s="1">
        <f t="shared" si="1"/>
        <v>27553.607999999997</v>
      </c>
      <c r="I8" s="1">
        <f t="shared" si="1"/>
        <v>27553.607999999997</v>
      </c>
      <c r="J8" s="1">
        <f t="shared" si="1"/>
        <v>27553.607999999997</v>
      </c>
      <c r="K8" s="1">
        <f t="shared" si="1"/>
        <v>27553.607999999997</v>
      </c>
      <c r="M8" s="8"/>
    </row>
    <row r="9" spans="1:16" hidden="1" outlineLevel="1">
      <c r="B9" s="437" t="s">
        <v>397</v>
      </c>
      <c r="C9" s="496">
        <f>_xlfn.XLOOKUP(C$5, Ingredients!$D$5:$M$5, Ingredients!$D$38:$M$38, 0)</f>
        <v>544</v>
      </c>
      <c r="D9" s="496">
        <f>_xlfn.XLOOKUP(D$5, Ingredients!$D$5:$M$5, Ingredients!$D$38:$M$38, 0)</f>
        <v>1308</v>
      </c>
      <c r="E9" s="496">
        <f>_xlfn.XLOOKUP(E$5, Ingredients!$D$5:$M$5, Ingredients!$D$38:$M$38, 0)</f>
        <v>1949.8215</v>
      </c>
      <c r="F9" s="496">
        <f>_xlfn.XLOOKUP(F$5, Ingredients!$D$5:$M$5, Ingredients!$D$38:$M$38, 0)</f>
        <v>3791.2995999999998</v>
      </c>
      <c r="G9" s="496">
        <f>_xlfn.XLOOKUP(G$5, Ingredients!$D$5:$M$5, Ingredients!$D$38:$M$38, 0)</f>
        <v>4468.9459999999999</v>
      </c>
      <c r="H9" s="496">
        <f>_xlfn.XLOOKUP(H$5, Ingredients!$D$5:$M$5, Ingredients!$D$38:$M$38, 0)</f>
        <v>4968.9459999999999</v>
      </c>
      <c r="I9" s="496">
        <f>_xlfn.XLOOKUP(I$5, Ingredients!$D$5:$M$5, Ingredients!$D$38:$M$38, 0)</f>
        <v>4968.9459999999999</v>
      </c>
      <c r="J9" s="496">
        <f>_xlfn.XLOOKUP(J$5, Ingredients!$D$5:$M$5, Ingredients!$D$38:$M$38, 0)</f>
        <v>4968.9459999999999</v>
      </c>
      <c r="K9" s="496">
        <f>_xlfn.XLOOKUP(K$5, Ingredients!$D$5:$M$5, Ingredients!$D$38:$M$38, 0)</f>
        <v>4968.9459999999999</v>
      </c>
      <c r="M9" s="8"/>
    </row>
    <row r="10" spans="1:16" hidden="1" outlineLevel="1">
      <c r="B10" s="437" t="s">
        <v>396</v>
      </c>
      <c r="C10" s="496">
        <f>_xlfn.XLOOKUP(C$5, Ingredients!$O$5:$X$5, Ingredients!$O$38:$X$38, 0)</f>
        <v>0</v>
      </c>
      <c r="D10" s="496">
        <f>_xlfn.XLOOKUP(D$5, Ingredients!$O$5:$X$5, Ingredients!$O$38:$X$38, 0)</f>
        <v>0</v>
      </c>
      <c r="E10" s="496">
        <f>_xlfn.XLOOKUP(E$5, Ingredients!$O$5:$X$5, Ingredients!$O$38:$X$38, 0)</f>
        <v>1889.4644999999996</v>
      </c>
      <c r="F10" s="496">
        <f>_xlfn.XLOOKUP(F$5, Ingredients!$O$5:$X$5, Ingredients!$O$38:$X$38, 0)</f>
        <v>10101.137199999999</v>
      </c>
      <c r="G10" s="496">
        <f>_xlfn.XLOOKUP(G$5, Ingredients!$O$5:$X$5, Ingredients!$O$38:$X$38, 0)</f>
        <v>21084.661999999997</v>
      </c>
      <c r="H10" s="496">
        <f>_xlfn.XLOOKUP(H$5, Ingredients!$O$5:$X$5, Ingredients!$O$38:$X$38, 0)</f>
        <v>22584.661999999997</v>
      </c>
      <c r="I10" s="496">
        <f>_xlfn.XLOOKUP(I$5, Ingredients!$O$5:$X$5, Ingredients!$O$38:$X$38, 0)</f>
        <v>22584.661999999997</v>
      </c>
      <c r="J10" s="496">
        <f>_xlfn.XLOOKUP(J$5, Ingredients!$O$5:$X$5, Ingredients!$O$38:$X$38, 0)</f>
        <v>22584.661999999997</v>
      </c>
      <c r="K10" s="496">
        <f>_xlfn.XLOOKUP(K$5, Ingredients!$O$5:$X$5, Ingredients!$O$38:$X$38, 0)</f>
        <v>22584.661999999997</v>
      </c>
      <c r="M10" s="8"/>
    </row>
    <row r="11" spans="1:16" collapsed="1">
      <c r="B11" s="103" t="s">
        <v>67</v>
      </c>
      <c r="C11" s="1">
        <f>_xlfn.XLOOKUP(C$5, Ingredients!$Z$5:$AI$5, Ingredients!$Z$38:$AI$38, 0)</f>
        <v>0</v>
      </c>
      <c r="D11" s="1">
        <f>_xlfn.XLOOKUP(D$5, Ingredients!$Z$5:$AI$5, Ingredients!$Z$38:$AI$38, 0)</f>
        <v>0</v>
      </c>
      <c r="E11" s="1">
        <f>_xlfn.XLOOKUP(E$5, Ingredients!$Z$5:$AI$5, Ingredients!$Z$38:$AI$38, 0)</f>
        <v>4282.7861999999996</v>
      </c>
      <c r="F11" s="1">
        <f>_xlfn.XLOOKUP(F$5, Ingredients!$Z$5:$AI$5, Ingredients!$Z$38:$AI$38, 0)</f>
        <v>21373.142559999997</v>
      </c>
      <c r="G11" s="1">
        <f>_xlfn.XLOOKUP(G$5, Ingredients!$Z$5:$AI$5, Ingredients!$Z$38:$AI$38, 0)</f>
        <v>43441.133599999994</v>
      </c>
      <c r="H11" s="1">
        <f>_xlfn.XLOOKUP(H$5, Ingredients!$Z$5:$AI$5, Ingredients!$Z$38:$AI$38, 0)</f>
        <v>46841.133599999994</v>
      </c>
      <c r="I11" s="1">
        <f>_xlfn.XLOOKUP(I$5, Ingredients!$Z$5:$AI$5, Ingredients!$Z$38:$AI$38, 0)</f>
        <v>46841.133599999994</v>
      </c>
      <c r="J11" s="1">
        <f>_xlfn.XLOOKUP(J$5, Ingredients!$Z$5:$AI$5, Ingredients!$Z$38:$AI$38, 0)</f>
        <v>46841.133599999994</v>
      </c>
      <c r="K11" s="1">
        <f>_xlfn.XLOOKUP(K$5, Ingredients!$Z$5:$AI$5, Ingredients!$Z$38:$AI$38, 0)</f>
        <v>46841.133599999994</v>
      </c>
      <c r="M11" s="8"/>
    </row>
    <row r="12" spans="1:16">
      <c r="B12" s="103" t="s">
        <v>68</v>
      </c>
      <c r="C12" s="1">
        <f>_xlfn.XLOOKUP(C$5, Ingredients!$AK$5:$AT$5, Ingredients!$AK$38:$AT$38, 0)</f>
        <v>0</v>
      </c>
      <c r="D12" s="1">
        <f>_xlfn.XLOOKUP(D$5, Ingredients!$AK$5:$AT$5, Ingredients!$AK$38:$AT$38, 0)</f>
        <v>0</v>
      </c>
      <c r="E12" s="1">
        <f>_xlfn.XLOOKUP(E$5, Ingredients!$AK$5:$AT$5, Ingredients!$AK$38:$AT$38, 0)</f>
        <v>0.7</v>
      </c>
      <c r="F12" s="1">
        <f>_xlfn.XLOOKUP(F$5, Ingredients!$AK$5:$AT$5, Ingredients!$AK$38:$AT$38, 0)</f>
        <v>4</v>
      </c>
      <c r="G12" s="1">
        <f>_xlfn.XLOOKUP(G$5, Ingredients!$AK$5:$AT$5, Ingredients!$AK$38:$AT$38, 0)</f>
        <v>20</v>
      </c>
      <c r="H12" s="1">
        <f>_xlfn.XLOOKUP(H$5, Ingredients!$AK$5:$AT$5, Ingredients!$AK$38:$AT$38, 0)</f>
        <v>30</v>
      </c>
      <c r="I12" s="1">
        <f>_xlfn.XLOOKUP(I$5, Ingredients!$AK$5:$AT$5, Ingredients!$AK$38:$AT$38, 0)</f>
        <v>45</v>
      </c>
      <c r="J12" s="1">
        <f>_xlfn.XLOOKUP(J$5, Ingredients!$AK$5:$AT$5, Ingredients!$AK$38:$AT$38, 0)</f>
        <v>67.5</v>
      </c>
      <c r="K12" s="1">
        <f>_xlfn.XLOOKUP(K$5, Ingredients!$AK$5:$AT$5, Ingredients!$AK$38:$AT$38, 0)</f>
        <v>70.875</v>
      </c>
      <c r="M12" s="8"/>
    </row>
    <row r="13" spans="1:16">
      <c r="B13" s="103" t="s">
        <v>69</v>
      </c>
      <c r="C13" s="1">
        <f>_xlfn.XLOOKUP(C$5, Ingredients!$AV$5:$BE$5, Ingredients!$AV$38:$BE$38, 0)</f>
        <v>0</v>
      </c>
      <c r="D13" s="1">
        <f>_xlfn.XLOOKUP(D$5, Ingredients!$AV$5:$BE$5, Ingredients!$AV$38:$BE$38, 0)</f>
        <v>0</v>
      </c>
      <c r="E13" s="1">
        <f>_xlfn.XLOOKUP(E$5, Ingredients!$AV$5:$BE$5, Ingredients!$AV$38:$BE$38, 0)</f>
        <v>0</v>
      </c>
      <c r="F13" s="1">
        <f>_xlfn.XLOOKUP(F$5, Ingredients!$AV$5:$BE$5, Ingredients!$AV$38:$BE$38, 0)</f>
        <v>0</v>
      </c>
      <c r="G13" s="1">
        <f>_xlfn.XLOOKUP(G$5, Ingredients!$AV$5:$BE$5, Ingredients!$AV$38:$BE$38, 0)</f>
        <v>400</v>
      </c>
      <c r="H13" s="1">
        <f>_xlfn.XLOOKUP(H$5, Ingredients!$AV$5:$BE$5, Ingredients!$AV$38:$BE$38, 0)</f>
        <v>1150</v>
      </c>
      <c r="I13" s="1">
        <f>_xlfn.XLOOKUP(I$5, Ingredients!$AV$5:$BE$5, Ingredients!$AV$38:$BE$38, 0)</f>
        <v>1750</v>
      </c>
      <c r="J13" s="1">
        <f>_xlfn.XLOOKUP(J$5, Ingredients!$AV$5:$BE$5, Ingredients!$AV$38:$BE$38, 0)</f>
        <v>2050</v>
      </c>
      <c r="K13" s="1">
        <f>_xlfn.XLOOKUP(K$5, Ingredients!$AV$5:$BE$5, Ingredients!$AV$38:$BE$38, 0)</f>
        <v>2152.5</v>
      </c>
      <c r="M13" s="8"/>
    </row>
    <row r="14" spans="1:16" ht="3.75" customHeight="1">
      <c r="C14" s="14"/>
      <c r="D14" s="14"/>
      <c r="E14" s="14"/>
      <c r="F14" s="14"/>
      <c r="G14" s="14"/>
      <c r="H14" s="14"/>
      <c r="I14" s="14"/>
      <c r="J14" s="14"/>
      <c r="K14" s="14"/>
      <c r="M14" s="8"/>
    </row>
    <row r="15" spans="1:16">
      <c r="B15" s="467" t="s">
        <v>644</v>
      </c>
      <c r="C15" s="497"/>
      <c r="D15" s="497"/>
      <c r="E15" s="497"/>
      <c r="F15" s="497"/>
      <c r="G15" s="497"/>
      <c r="H15" s="497"/>
      <c r="I15" s="497"/>
      <c r="J15" s="497"/>
      <c r="K15" s="497"/>
      <c r="M15" s="8"/>
    </row>
    <row r="16" spans="1:16">
      <c r="B16" s="103" t="s">
        <v>546</v>
      </c>
      <c r="C16" s="1">
        <f>SUM(C17:C18)</f>
        <v>437.57534246575341</v>
      </c>
      <c r="D16" s="1">
        <f t="shared" ref="D16" si="2">SUM(D17:D18)</f>
        <v>1122.4109589041095</v>
      </c>
      <c r="E16" s="1">
        <f t="shared" ref="E16" si="3">SUM(E17:E18)</f>
        <v>3550.2487945205476</v>
      </c>
      <c r="F16" s="1">
        <f t="shared" ref="F16" si="4">SUM(F17:F18)</f>
        <v>13348.162947945206</v>
      </c>
      <c r="G16" s="1">
        <f t="shared" ref="G16" si="5">SUM(G17:G18)</f>
        <v>25471.784482191779</v>
      </c>
      <c r="H16" s="1">
        <f t="shared" ref="H16" si="6">SUM(H17:H18)</f>
        <v>27471.416219178078</v>
      </c>
      <c r="I16" s="1">
        <f t="shared" ref="I16" si="7">SUM(I17:I18)</f>
        <v>27553.607999999997</v>
      </c>
      <c r="J16" s="1">
        <f t="shared" ref="J16" si="8">SUM(J17:J18)</f>
        <v>27553.607999999997</v>
      </c>
      <c r="K16" s="1">
        <f t="shared" ref="K16" si="9">SUM(K17:K18)</f>
        <v>27553.607999999997</v>
      </c>
      <c r="M16" s="8"/>
    </row>
    <row r="17" spans="2:14" hidden="1" outlineLevel="1">
      <c r="B17" s="437" t="s">
        <v>397</v>
      </c>
      <c r="C17" s="496">
        <f>_xlfn.XLOOKUP(C$5, Ingredients!$D$5:$M$5, Ingredients!$D$42:$M$42, 0)</f>
        <v>437.57534246575341</v>
      </c>
      <c r="D17" s="496">
        <f>_xlfn.XLOOKUP(D$5, Ingredients!$D$5:$M$5, Ingredients!$D$42:$M$42, 0)</f>
        <v>1122.4109589041095</v>
      </c>
      <c r="E17" s="496">
        <f>_xlfn.XLOOKUP(E$5, Ingredients!$D$5:$M$5, Ingredients!$D$42:$M$42, 0)</f>
        <v>1896.0827465753425</v>
      </c>
      <c r="F17" s="496">
        <f>_xlfn.XLOOKUP(F$5, Ingredients!$D$5:$M$5, Ingredients!$D$42:$M$42, 0)</f>
        <v>3728.3687808219179</v>
      </c>
      <c r="G17" s="496">
        <f>_xlfn.XLOOKUP(G$5, Ingredients!$D$5:$M$5, Ingredients!$D$42:$M$42, 0)</f>
        <v>4616.9739561643837</v>
      </c>
      <c r="H17" s="496">
        <f>_xlfn.XLOOKUP(H$5, Ingredients!$D$5:$M$5, Ingredients!$D$42:$M$42, 0)</f>
        <v>4948.3980547945202</v>
      </c>
      <c r="I17" s="496">
        <f>_xlfn.XLOOKUP(I$5, Ingredients!$D$5:$M$5, Ingredients!$D$42:$M$42, 0)</f>
        <v>4968.9459999999999</v>
      </c>
      <c r="J17" s="496">
        <f>_xlfn.XLOOKUP(J$5, Ingredients!$D$5:$M$5, Ingredients!$D$42:$M$42, 0)</f>
        <v>4968.9459999999999</v>
      </c>
      <c r="K17" s="496">
        <f>_xlfn.XLOOKUP(K$5, Ingredients!$D$5:$M$5, Ingredients!$D$42:$M$42, 0)</f>
        <v>4968.9459999999999</v>
      </c>
      <c r="M17" s="8"/>
    </row>
    <row r="18" spans="2:14" hidden="1" outlineLevel="1">
      <c r="B18" s="437" t="s">
        <v>396</v>
      </c>
      <c r="C18" s="496">
        <f>_xlfn.XLOOKUP(C$5, Ingredients!$O$5:$X$5, Ingredients!$O$42:$X$42, 0)</f>
        <v>0</v>
      </c>
      <c r="D18" s="496">
        <f>_xlfn.XLOOKUP(D$5, Ingredients!$O$5:$X$5, Ingredients!$O$42:$X$42, 0)</f>
        <v>0</v>
      </c>
      <c r="E18" s="496">
        <f>_xlfn.XLOOKUP(E$5, Ingredients!$O$5:$X$5, Ingredients!$O$42:$X$42, 0)</f>
        <v>1654.166047945205</v>
      </c>
      <c r="F18" s="496">
        <f>_xlfn.XLOOKUP(F$5, Ingredients!$O$5:$X$5, Ingredients!$O$42:$X$42, 0)</f>
        <v>9619.7941671232875</v>
      </c>
      <c r="G18" s="496">
        <f>_xlfn.XLOOKUP(G$5, Ingredients!$O$5:$X$5, Ingredients!$O$42:$X$42, 0)</f>
        <v>20854.810526027395</v>
      </c>
      <c r="H18" s="496">
        <f>_xlfn.XLOOKUP(H$5, Ingredients!$O$5:$X$5, Ingredients!$O$42:$X$42, 0)</f>
        <v>22523.018164383557</v>
      </c>
      <c r="I18" s="496">
        <f>_xlfn.XLOOKUP(I$5, Ingredients!$O$5:$X$5, Ingredients!$O$42:$X$42, 0)</f>
        <v>22584.661999999997</v>
      </c>
      <c r="J18" s="496">
        <f>_xlfn.XLOOKUP(J$5, Ingredients!$O$5:$X$5, Ingredients!$O$42:$X$42, 0)</f>
        <v>22584.661999999997</v>
      </c>
      <c r="K18" s="496">
        <f>_xlfn.XLOOKUP(K$5, Ingredients!$O$5:$X$5, Ingredients!$O$42:$X$42, 0)</f>
        <v>22584.661999999997</v>
      </c>
      <c r="M18" s="8"/>
    </row>
    <row r="19" spans="2:14" collapsed="1">
      <c r="B19" s="103" t="s">
        <v>67</v>
      </c>
      <c r="C19" s="1">
        <f>_xlfn.XLOOKUP(C$5, Ingredients!$Z$5:$AI$5, Ingredients!$Z$42:$AI$42, 0)</f>
        <v>0</v>
      </c>
      <c r="D19" s="1">
        <f>_xlfn.XLOOKUP(D$5, Ingredients!$Z$5:$AI$5, Ingredients!$Z$42:$AI$42, 0)</f>
        <v>0</v>
      </c>
      <c r="E19" s="1">
        <f>_xlfn.XLOOKUP(E$5, Ingredients!$Z$5:$AI$5, Ingredients!$Z$42:$AI$42, 0)</f>
        <v>4165.4495917808217</v>
      </c>
      <c r="F19" s="1">
        <f>_xlfn.XLOOKUP(F$5, Ingredients!$Z$5:$AI$5, Ingredients!$Z$42:$AI$42, 0)</f>
        <v>20904.913618630133</v>
      </c>
      <c r="G19" s="1">
        <f>_xlfn.XLOOKUP(G$5, Ingredients!$Z$5:$AI$5, Ingredients!$Z$42:$AI$42, 0)</f>
        <v>42836.531105753413</v>
      </c>
      <c r="H19" s="1">
        <f>_xlfn.XLOOKUP(H$5, Ingredients!$Z$5:$AI$5, Ingredients!$Z$42:$AI$42, 0)</f>
        <v>46747.982915068489</v>
      </c>
      <c r="I19" s="1">
        <f>_xlfn.XLOOKUP(I$5, Ingredients!$Z$5:$AI$5, Ingredients!$Z$42:$AI$42, 0)</f>
        <v>46841.133599999994</v>
      </c>
      <c r="J19" s="1">
        <f>_xlfn.XLOOKUP(J$5, Ingredients!$Z$5:$AI$5, Ingredients!$Z$42:$AI$42, 0)</f>
        <v>46841.133599999994</v>
      </c>
      <c r="K19" s="1">
        <f>_xlfn.XLOOKUP(K$5, Ingredients!$Z$5:$AI$5, Ingredients!$Z$42:$AI$42, 0)</f>
        <v>46841.133599999994</v>
      </c>
      <c r="M19" s="8"/>
    </row>
    <row r="20" spans="2:14">
      <c r="B20" s="103" t="s">
        <v>68</v>
      </c>
      <c r="C20" s="1">
        <f>_xlfn.XLOOKUP(C$5, Ingredients!$AK$5:$AT$5, Ingredients!$AK$42:$AT$42, 0)</f>
        <v>0</v>
      </c>
      <c r="D20" s="1">
        <f>_xlfn.XLOOKUP(D$5, Ingredients!$AK$5:$AT$5, Ingredients!$AK$42:$AT$42, 0)</f>
        <v>0</v>
      </c>
      <c r="E20" s="1">
        <f>_xlfn.XLOOKUP(E$5, Ingredients!$AK$5:$AT$5, Ingredients!$AK$42:$AT$42, 0)</f>
        <v>0.58493150684931505</v>
      </c>
      <c r="F20" s="1">
        <f>_xlfn.XLOOKUP(F$5, Ingredients!$AK$5:$AT$5, Ingredients!$AK$42:$AT$42, 0)</f>
        <v>3.5671232876712331</v>
      </c>
      <c r="G20" s="1">
        <f>_xlfn.XLOOKUP(G$5, Ingredients!$AK$5:$AT$5, Ingredients!$AK$42:$AT$42, 0)</f>
        <v>19.726027397260271</v>
      </c>
      <c r="H20" s="1">
        <f>_xlfn.XLOOKUP(H$5, Ingredients!$AK$5:$AT$5, Ingredients!$AK$42:$AT$42, 0)</f>
        <v>29.589041095890412</v>
      </c>
      <c r="I20" s="1">
        <f>_xlfn.XLOOKUP(I$5, Ingredients!$AK$5:$AT$5, Ingredients!$AK$42:$AT$42, 0)</f>
        <v>44.38356164383562</v>
      </c>
      <c r="J20" s="1">
        <f>_xlfn.XLOOKUP(J$5, Ingredients!$AK$5:$AT$5, Ingredients!$AK$42:$AT$42, 0)</f>
        <v>66.575342465753423</v>
      </c>
      <c r="K20" s="1">
        <f>_xlfn.XLOOKUP(K$5, Ingredients!$AK$5:$AT$5, Ingredients!$AK$42:$AT$42, 0)</f>
        <v>70.736301369863014</v>
      </c>
      <c r="M20" s="8"/>
    </row>
    <row r="21" spans="2:14">
      <c r="B21" s="103" t="s">
        <v>69</v>
      </c>
      <c r="C21" s="1">
        <f>_xlfn.XLOOKUP(C$5, Ingredients!$AV$5:$BE$5, Ingredients!$AV$42:$BE$42, 0)</f>
        <v>0</v>
      </c>
      <c r="D21" s="1">
        <f>_xlfn.XLOOKUP(D$5, Ingredients!$AV$5:$BE$5, Ingredients!$AV$42:$BE$42, 0)</f>
        <v>0</v>
      </c>
      <c r="E21" s="1">
        <f>_xlfn.XLOOKUP(E$5, Ingredients!$AV$5:$BE$5, Ingredients!$AV$42:$BE$42, 0)</f>
        <v>0</v>
      </c>
      <c r="F21" s="1">
        <f>_xlfn.XLOOKUP(F$5, Ingredients!$AV$5:$BE$5, Ingredients!$AV$42:$BE$42, 0)</f>
        <v>0</v>
      </c>
      <c r="G21" s="1">
        <f>_xlfn.XLOOKUP(G$5, Ingredients!$AV$5:$BE$5, Ingredients!$AV$42:$BE$42, 0)</f>
        <v>383.56164383561645</v>
      </c>
      <c r="H21" s="1">
        <f>_xlfn.XLOOKUP(H$5, Ingredients!$AV$5:$BE$5, Ingredients!$AV$42:$BE$42, 0)</f>
        <v>1119.1780821917807</v>
      </c>
      <c r="I21" s="1">
        <f>_xlfn.XLOOKUP(I$5, Ingredients!$AV$5:$BE$5, Ingredients!$AV$42:$BE$42, 0)</f>
        <v>1725.3424657534247</v>
      </c>
      <c r="J21" s="1">
        <f>_xlfn.XLOOKUP(J$5, Ingredients!$AV$5:$BE$5, Ingredients!$AV$42:$BE$42, 0)</f>
        <v>2037.6712328767123</v>
      </c>
      <c r="K21" s="1">
        <f>_xlfn.XLOOKUP(K$5, Ingredients!$AV$5:$BE$5, Ingredients!$AV$42:$BE$42, 0)</f>
        <v>2148.2876712328766</v>
      </c>
      <c r="M21" s="8"/>
    </row>
    <row r="22" spans="2:14" ht="3.75" customHeight="1">
      <c r="C22" s="14"/>
      <c r="D22" s="14"/>
      <c r="E22" s="14"/>
      <c r="F22" s="14"/>
      <c r="G22" s="14"/>
      <c r="H22" s="14"/>
      <c r="I22" s="14"/>
      <c r="J22" s="14"/>
      <c r="K22" s="14"/>
      <c r="M22" s="8"/>
    </row>
    <row r="23" spans="2:14" s="15" customFormat="1" ht="15.75" customHeight="1">
      <c r="B23" s="435" t="s">
        <v>66</v>
      </c>
      <c r="C23" s="436"/>
      <c r="D23" s="436"/>
      <c r="E23" s="436"/>
      <c r="F23" s="436"/>
      <c r="G23" s="436"/>
      <c r="H23" s="436"/>
      <c r="I23" s="436"/>
      <c r="J23" s="436"/>
      <c r="K23" s="436"/>
      <c r="M23" s="18"/>
    </row>
    <row r="24" spans="2:14">
      <c r="B24" s="19" t="s">
        <v>420</v>
      </c>
      <c r="C24" s="20">
        <f t="shared" ref="C24:K24" si="10">SUM(C25:C29)</f>
        <v>9372.8638356164392</v>
      </c>
      <c r="D24" s="20">
        <f t="shared" si="10"/>
        <v>20764.602739726026</v>
      </c>
      <c r="E24" s="20">
        <f t="shared" si="10"/>
        <v>62425.699917465747</v>
      </c>
      <c r="F24" s="20">
        <f t="shared" si="10"/>
        <v>218963.45555057537</v>
      </c>
      <c r="G24" s="20">
        <f t="shared" si="10"/>
        <v>435919.55422389216</v>
      </c>
      <c r="H24" s="20">
        <f t="shared" si="10"/>
        <v>487453.42836657527</v>
      </c>
      <c r="I24" s="20">
        <f t="shared" si="10"/>
        <v>523776.85302410956</v>
      </c>
      <c r="J24" s="20">
        <f t="shared" si="10"/>
        <v>539393.29138027388</v>
      </c>
      <c r="K24" s="20">
        <f t="shared" si="10"/>
        <v>542427.53795561637</v>
      </c>
      <c r="M24" s="21"/>
      <c r="N24" s="15"/>
    </row>
    <row r="25" spans="2:14" hidden="1" outlineLevel="1">
      <c r="B25" s="437" t="s">
        <v>397</v>
      </c>
      <c r="C25" s="438">
        <f>_xlfn.XLOOKUP(C$5, Ingredients!$D$5:$M$5, Ingredients!$D$51:$M$51, 0)</f>
        <v>9372.8638356164392</v>
      </c>
      <c r="D25" s="438">
        <f>_xlfn.XLOOKUP(D$5, Ingredients!$D$5:$M$5, Ingredients!$D$51:$M$51, 0)</f>
        <v>20764.602739726026</v>
      </c>
      <c r="E25" s="438">
        <f>_xlfn.XLOOKUP(E$5, Ingredients!$D$5:$M$5, Ingredients!$D$51:$M$51, 0)</f>
        <v>32328.210829109586</v>
      </c>
      <c r="F25" s="438">
        <f>_xlfn.XLOOKUP(F$5, Ingredients!$D$5:$M$5, Ingredients!$D$51:$M$51, 0)</f>
        <v>57416.879224657547</v>
      </c>
      <c r="G25" s="438">
        <f>_xlfn.XLOOKUP(G$5, Ingredients!$D$5:$M$5, Ingredients!$D$51:$M$51, 0)</f>
        <v>71101.39892493152</v>
      </c>
      <c r="H25" s="438">
        <f>_xlfn.XLOOKUP(H$5, Ingredients!$D$5:$M$5, Ingredients!$D$51:$M$51, 0)</f>
        <v>70762.092183561632</v>
      </c>
      <c r="I25" s="438">
        <f>_xlfn.XLOOKUP(I$5, Ingredients!$D$5:$M$5, Ingredients!$D$51:$M$51, 0)</f>
        <v>71055.92779999999</v>
      </c>
      <c r="J25" s="438">
        <f>_xlfn.XLOOKUP(J$5, Ingredients!$D$5:$M$5, Ingredients!$D$51:$M$51, 0)</f>
        <v>71055.92779999999</v>
      </c>
      <c r="K25" s="438">
        <f>_xlfn.XLOOKUP(K$5, Ingredients!$D$5:$M$5, Ingredients!$D$51:$M$51, 0)</f>
        <v>71055.92779999999</v>
      </c>
      <c r="M25" s="21"/>
      <c r="N25" s="15"/>
    </row>
    <row r="26" spans="2:14" hidden="1" outlineLevel="1">
      <c r="B26" s="437" t="s">
        <v>396</v>
      </c>
      <c r="C26" s="438">
        <f>_xlfn.XLOOKUP(C$5, Ingredients!$O$5:$X$5, Ingredients!$O$51:$X$51, 0)</f>
        <v>0</v>
      </c>
      <c r="D26" s="438">
        <f>_xlfn.XLOOKUP(D$5, Ingredients!$O$5:$X$5, Ingredients!$O$51:$X$51, 0)</f>
        <v>0</v>
      </c>
      <c r="E26" s="438">
        <f>_xlfn.XLOOKUP(E$5, Ingredients!$O$5:$X$5, Ingredients!$O$51:$X$51, 0)</f>
        <v>25639.573743150679</v>
      </c>
      <c r="F26" s="438">
        <f>_xlfn.XLOOKUP(F$5, Ingredients!$O$5:$X$5, Ingredients!$O$51:$X$51, 0)</f>
        <v>134677.11833972603</v>
      </c>
      <c r="G26" s="438">
        <f>_xlfn.XLOOKUP(G$5, Ingredients!$O$5:$X$5, Ingredients!$O$51:$X$51, 0)</f>
        <v>284373.22208164557</v>
      </c>
      <c r="H26" s="438">
        <f>_xlfn.XLOOKUP(H$5, Ingredients!$O$5:$X$5, Ingredients!$O$51:$X$51, 0)</f>
        <v>292799.23613698623</v>
      </c>
      <c r="I26" s="438">
        <f>_xlfn.XLOOKUP(I$5, Ingredients!$O$5:$X$5, Ingredients!$O$51:$X$51, 0)</f>
        <v>293600.60599999997</v>
      </c>
      <c r="J26" s="438">
        <f>_xlfn.XLOOKUP(J$5, Ingredients!$O$5:$X$5, Ingredients!$O$51:$X$51, 0)</f>
        <v>293600.60599999997</v>
      </c>
      <c r="K26" s="438">
        <f>_xlfn.XLOOKUP(K$5, Ingredients!$O$5:$X$5, Ingredients!$O$51:$X$51, 0)</f>
        <v>293600.60599999997</v>
      </c>
      <c r="M26" s="21"/>
      <c r="N26" s="15"/>
    </row>
    <row r="27" spans="2:14" hidden="1" outlineLevel="1">
      <c r="B27" s="437" t="s">
        <v>67</v>
      </c>
      <c r="C27" s="438">
        <f>_xlfn.XLOOKUP(C$5, Ingredients!$Z$5:$AI$5, Ingredients!$Z$51:$AI$51, 0)</f>
        <v>0</v>
      </c>
      <c r="D27" s="438">
        <f>_xlfn.XLOOKUP(D$5, Ingredients!$Z$5:$AI$5, Ingredients!$Z$51:$AI$51, 0)</f>
        <v>0</v>
      </c>
      <c r="E27" s="438">
        <f>_xlfn.XLOOKUP(E$5, Ingredients!$Z$5:$AI$5, Ingredients!$Z$51:$AI$51, 0)</f>
        <v>4165.4495917808217</v>
      </c>
      <c r="F27" s="438">
        <f>_xlfn.XLOOKUP(F$5, Ingredients!$Z$5:$AI$5, Ingredients!$Z$51:$AI$51, 0)</f>
        <v>25085.896342356158</v>
      </c>
      <c r="G27" s="438">
        <f>_xlfn.XLOOKUP(G$5, Ingredients!$Z$5:$AI$5, Ingredients!$Z$51:$AI$51, 0)</f>
        <v>51403.837326904104</v>
      </c>
      <c r="H27" s="438">
        <f>_xlfn.XLOOKUP(H$5, Ingredients!$Z$5:$AI$5, Ingredients!$Z$51:$AI$51, 0)</f>
        <v>56097.579498082188</v>
      </c>
      <c r="I27" s="438">
        <f>_xlfn.XLOOKUP(I$5, Ingredients!$Z$5:$AI$5, Ingredients!$Z$51:$AI$51, 0)</f>
        <v>56209.360319999992</v>
      </c>
      <c r="J27" s="438">
        <f>_xlfn.XLOOKUP(J$5, Ingredients!$Z$5:$AI$5, Ingredients!$Z$51:$AI$51, 0)</f>
        <v>56209.360319999992</v>
      </c>
      <c r="K27" s="438">
        <f>_xlfn.XLOOKUP(K$5, Ingredients!$Z$5:$AI$5, Ingredients!$Z$51:$AI$51, 0)</f>
        <v>56209.360319999992</v>
      </c>
      <c r="M27" s="21"/>
      <c r="N27" s="15"/>
    </row>
    <row r="28" spans="2:14" hidden="1" outlineLevel="1">
      <c r="B28" s="437" t="s">
        <v>68</v>
      </c>
      <c r="C28" s="438">
        <f>_xlfn.XLOOKUP(C$5, Ingredients!$AK$5:$AT$5, Ingredients!$AK$51:$AT$51, 0)</f>
        <v>0</v>
      </c>
      <c r="D28" s="438">
        <f>_xlfn.XLOOKUP(D$5, Ingredients!$AK$5:$AT$5, Ingredients!$AK$51:$AT$51, 0)</f>
        <v>0</v>
      </c>
      <c r="E28" s="438">
        <f>_xlfn.XLOOKUP(E$5, Ingredients!$AK$5:$AT$5, Ingredients!$AK$51:$AT$51, 0)</f>
        <v>292.46575342465752</v>
      </c>
      <c r="F28" s="438">
        <f>_xlfn.XLOOKUP(F$5, Ingredients!$AK$5:$AT$5, Ingredients!$AK$51:$AT$51, 0)</f>
        <v>1783.5616438356165</v>
      </c>
      <c r="G28" s="438">
        <f>_xlfn.XLOOKUP(G$5, Ingredients!$AK$5:$AT$5, Ingredients!$AK$51:$AT$51, 0)</f>
        <v>9863.013698630135</v>
      </c>
      <c r="H28" s="438">
        <f>_xlfn.XLOOKUP(H$5, Ingredients!$AK$5:$AT$5, Ingredients!$AK$51:$AT$51, 0)</f>
        <v>11835.616438356165</v>
      </c>
      <c r="I28" s="438">
        <f>_xlfn.XLOOKUP(I$5, Ingredients!$AK$5:$AT$5, Ingredients!$AK$51:$AT$51, 0)</f>
        <v>16643.835616438359</v>
      </c>
      <c r="J28" s="438">
        <f>_xlfn.XLOOKUP(J$5, Ingredients!$AK$5:$AT$5, Ingredients!$AK$51:$AT$51, 0)</f>
        <v>16643.835616438355</v>
      </c>
      <c r="K28" s="438">
        <f>_xlfn.XLOOKUP(K$5, Ingredients!$AK$5:$AT$5, Ingredients!$AK$51:$AT$51, 0)</f>
        <v>14147.260273972603</v>
      </c>
      <c r="M28" s="21"/>
      <c r="N28" s="15"/>
    </row>
    <row r="29" spans="2:14" hidden="1" outlineLevel="1">
      <c r="B29" s="437" t="s">
        <v>69</v>
      </c>
      <c r="C29" s="438">
        <f>_xlfn.XLOOKUP(C$5, Ingredients!$AV$5:$BE$5, Ingredients!$AV$51:$BE$51, 0)</f>
        <v>0</v>
      </c>
      <c r="D29" s="438">
        <f>_xlfn.XLOOKUP(D$5, Ingredients!$AV$5:$BE$5, Ingredients!$AV$51:$BE$51, 0)</f>
        <v>0</v>
      </c>
      <c r="E29" s="438">
        <f>_xlfn.XLOOKUP(E$5, Ingredients!$AV$5:$BE$5, Ingredients!$AV$51:$BE$51, 0)</f>
        <v>0</v>
      </c>
      <c r="F29" s="438">
        <f>_xlfn.XLOOKUP(F$5, Ingredients!$AV$5:$BE$5, Ingredients!$AV$51:$BE$51, 0)</f>
        <v>0</v>
      </c>
      <c r="G29" s="438">
        <f>_xlfn.XLOOKUP(G$5, Ingredients!$AV$5:$BE$5, Ingredients!$AV$51:$BE$51, 0)</f>
        <v>19178.082191780821</v>
      </c>
      <c r="H29" s="438">
        <f>_xlfn.XLOOKUP(H$5, Ingredients!$AV$5:$BE$5, Ingredients!$AV$51:$BE$51, 0)</f>
        <v>55958.904109589035</v>
      </c>
      <c r="I29" s="438">
        <f>_xlfn.XLOOKUP(I$5, Ingredients!$AV$5:$BE$5, Ingredients!$AV$51:$BE$51, 0)</f>
        <v>86267.123287671231</v>
      </c>
      <c r="J29" s="438">
        <f>_xlfn.XLOOKUP(J$5, Ingredients!$AV$5:$BE$5, Ingredients!$AV$51:$BE$51, 0)</f>
        <v>101883.56164383562</v>
      </c>
      <c r="K29" s="438">
        <f>_xlfn.XLOOKUP(K$5, Ingredients!$AV$5:$BE$5, Ingredients!$AV$51:$BE$51, 0)</f>
        <v>107414.38356164383</v>
      </c>
      <c r="M29" s="21"/>
      <c r="N29" s="15"/>
    </row>
    <row r="30" spans="2:14" collapsed="1">
      <c r="B30" s="19" t="s">
        <v>559</v>
      </c>
      <c r="C30" s="20">
        <f>SUM(C31:C33)</f>
        <v>45058.8</v>
      </c>
      <c r="D30" s="20">
        <f t="shared" ref="D30:K30" si="11">SUM(D31:D33)</f>
        <v>53496.34</v>
      </c>
      <c r="E30" s="20">
        <f t="shared" si="11"/>
        <v>57842.946799999998</v>
      </c>
      <c r="F30" s="20">
        <f t="shared" si="11"/>
        <v>62604.153736000007</v>
      </c>
      <c r="G30" s="20">
        <f t="shared" si="11"/>
        <v>67821.019610720017</v>
      </c>
      <c r="H30" s="20">
        <f t="shared" si="11"/>
        <v>70812.912907934413</v>
      </c>
      <c r="I30" s="20">
        <f t="shared" si="11"/>
        <v>74082.131328672447</v>
      </c>
      <c r="J30" s="20">
        <f t="shared" si="11"/>
        <v>73597.857132020115</v>
      </c>
      <c r="K30" s="20">
        <f t="shared" si="11"/>
        <v>74029.792845980701</v>
      </c>
      <c r="M30" s="21"/>
      <c r="N30" s="15"/>
    </row>
    <row r="31" spans="2:14" hidden="1" outlineLevel="1">
      <c r="B31" s="437" t="s">
        <v>70</v>
      </c>
      <c r="C31" s="438">
        <f>_xlfn.XLOOKUP(C$5, Ingredients!$BG$5:$BP$5, Ingredients!$BG$51:$BP$51,0) + _xlfn.XLOOKUP(C$5, Ingredients!$BR$5:$CA$5, Ingredients!$BR$51:$CA$51, 0)</f>
        <v>12292</v>
      </c>
      <c r="D31" s="438">
        <f>_xlfn.XLOOKUP(D$5, Ingredients!$BG$5:$BP$5, Ingredients!$BG$51:$BP$51,0) + _xlfn.XLOOKUP(D$5, Ingredients!$BR$5:$CA$5, Ingredients!$BR$51:$CA$51, 0)</f>
        <v>12537.84</v>
      </c>
      <c r="E31" s="438">
        <f>_xlfn.XLOOKUP(E$5, Ingredients!$BG$5:$BP$5, Ingredients!$BG$51:$BP$51,0) + _xlfn.XLOOKUP(E$5, Ingredients!$BR$5:$CA$5, Ingredients!$BR$51:$CA$51, 0)</f>
        <v>12788.596799999999</v>
      </c>
      <c r="F31" s="438">
        <f>_xlfn.XLOOKUP(F$5, Ingredients!$BG$5:$BP$5, Ingredients!$BG$51:$BP$51,0) + _xlfn.XLOOKUP(F$5, Ingredients!$BR$5:$CA$5, Ingredients!$BR$51:$CA$51, 0)</f>
        <v>13044.368736</v>
      </c>
      <c r="G31" s="438">
        <f>_xlfn.XLOOKUP(G$5, Ingredients!$BG$5:$BP$5, Ingredients!$BG$51:$BP$51,0) + _xlfn.XLOOKUP(G$5, Ingredients!$BR$5:$CA$5, Ingredients!$BR$51:$CA$51, 0)</f>
        <v>13305.25611072</v>
      </c>
      <c r="H31" s="438">
        <f>_xlfn.XLOOKUP(H$5, Ingredients!$BG$5:$BP$5, Ingredients!$BG$51:$BP$51,0) + _xlfn.XLOOKUP(H$5, Ingredients!$BR$5:$CA$5, Ingredients!$BR$51:$CA$51, 0)</f>
        <v>13571.3612329344</v>
      </c>
      <c r="I31" s="438">
        <f>_xlfn.XLOOKUP(I$5, Ingredients!$BG$5:$BP$5, Ingredients!$BG$51:$BP$51,0) + _xlfn.XLOOKUP(I$5, Ingredients!$BR$5:$CA$5, Ingredients!$BR$51:$CA$51, 0)</f>
        <v>13978.502069922433</v>
      </c>
      <c r="J31" s="438">
        <f>_xlfn.XLOOKUP(J$5, Ingredients!$BG$5:$BP$5, Ingredients!$BG$51:$BP$51,0) + _xlfn.XLOOKUP(J$5, Ingredients!$BR$5:$CA$5, Ingredients!$BR$51:$CA$51, 0)</f>
        <v>14397.857132020106</v>
      </c>
      <c r="K31" s="438">
        <f>_xlfn.XLOOKUP(K$5, Ingredients!$BG$5:$BP$5, Ingredients!$BG$51:$BP$51,0) + _xlfn.XLOOKUP(K$5, Ingredients!$BR$5:$CA$5, Ingredients!$BR$51:$CA$51, 0)</f>
        <v>14829.792845980708</v>
      </c>
      <c r="M31" s="21"/>
      <c r="N31" s="15"/>
    </row>
    <row r="32" spans="2:14" hidden="1" outlineLevel="1">
      <c r="B32" s="437" t="s">
        <v>71</v>
      </c>
      <c r="C32" s="438">
        <f>_xlfn.XLOOKUP(C$5, Ingredients!$CC$5:$CL$5, Ingredients!$CC$51:$CL$51, 0)</f>
        <v>27650</v>
      </c>
      <c r="D32" s="438">
        <f>_xlfn.XLOOKUP(D$5, Ingredients!$CC$5:$CL$5, Ingredients!$CC$51:$CL$51, 0)</f>
        <v>34562.5</v>
      </c>
      <c r="E32" s="438">
        <f>_xlfn.XLOOKUP(E$5, Ingredients!$CC$5:$CL$5, Ingredients!$CC$51:$CL$51, 0)</f>
        <v>38018.75</v>
      </c>
      <c r="F32" s="438">
        <f>_xlfn.XLOOKUP(F$5, Ingredients!$CC$5:$CL$5, Ingredients!$CC$51:$CL$51, 0)</f>
        <v>41820.625</v>
      </c>
      <c r="G32" s="438">
        <f>_xlfn.XLOOKUP(G$5, Ingredients!$CC$5:$CL$5, Ingredients!$CC$51:$CL$51, 0)</f>
        <v>46002.687500000007</v>
      </c>
      <c r="H32" s="438">
        <f>_xlfn.XLOOKUP(H$5, Ingredients!$CC$5:$CL$5, Ingredients!$CC$51:$CL$51, 0)</f>
        <v>48302.821875000009</v>
      </c>
      <c r="I32" s="438">
        <f>_xlfn.XLOOKUP(I$5, Ingredients!$CC$5:$CL$5, Ingredients!$CC$51:$CL$51, 0)</f>
        <v>50717.962968750013</v>
      </c>
      <c r="J32" s="438">
        <f>_xlfn.XLOOKUP(J$5, Ingredients!$CC$5:$CL$5, Ingredients!$CC$51:$CL$51, 0)</f>
        <v>49770</v>
      </c>
      <c r="K32" s="438">
        <f>_xlfn.XLOOKUP(K$5, Ingredients!$CC$5:$CL$5, Ingredients!$CC$51:$CL$51, 0)</f>
        <v>49770</v>
      </c>
      <c r="M32" s="21"/>
      <c r="N32" s="15"/>
    </row>
    <row r="33" spans="2:14" hidden="1" outlineLevel="1">
      <c r="B33" s="437" t="s">
        <v>72</v>
      </c>
      <c r="C33" s="438">
        <f>_xlfn.XLOOKUP(C$5, Ingredients!$CN$5:$CW$5, Ingredients!$CN$51:$CW$51, 0)</f>
        <v>5116.7999999999993</v>
      </c>
      <c r="D33" s="438">
        <f>_xlfn.XLOOKUP(D$5, Ingredients!$CN$5:$CW$5, Ingredients!$CN$51:$CW$51, 0)</f>
        <v>6396</v>
      </c>
      <c r="E33" s="438">
        <f>_xlfn.XLOOKUP(E$5, Ingredients!$CN$5:$CW$5, Ingredients!$CN$51:$CW$51, 0)</f>
        <v>7035.5999999999995</v>
      </c>
      <c r="F33" s="438">
        <f>_xlfn.XLOOKUP(F$5, Ingredients!$CN$5:$CW$5, Ingredients!$CN$51:$CW$51, 0)</f>
        <v>7739.16</v>
      </c>
      <c r="G33" s="438">
        <f>_xlfn.XLOOKUP(G$5, Ingredients!$CN$5:$CW$5, Ingredients!$CN$51:$CW$51, 0)</f>
        <v>8513.0760000000009</v>
      </c>
      <c r="H33" s="438">
        <f>_xlfn.XLOOKUP(H$5, Ingredients!$CN$5:$CW$5, Ingredients!$CN$51:$CW$51, 0)</f>
        <v>8938.729800000001</v>
      </c>
      <c r="I33" s="438">
        <f>_xlfn.XLOOKUP(I$5, Ingredients!$CN$5:$CW$5, Ingredients!$CN$51:$CW$51, 0)</f>
        <v>9385.666290000001</v>
      </c>
      <c r="J33" s="438">
        <f>_xlfn.XLOOKUP(J$5, Ingredients!$CN$5:$CW$5, Ingredients!$CN$51:$CW$51, 0)</f>
        <v>9430</v>
      </c>
      <c r="K33" s="438">
        <f>_xlfn.XLOOKUP(K$5, Ingredients!$CN$5:$CW$5, Ingredients!$CN$51:$CW$51, 0)</f>
        <v>9430</v>
      </c>
      <c r="M33" s="21"/>
      <c r="N33" s="15"/>
    </row>
    <row r="34" spans="2:14" collapsed="1">
      <c r="B34" s="19" t="s">
        <v>561</v>
      </c>
      <c r="C34" s="20">
        <f>SUM(C35:C37)</f>
        <v>10768</v>
      </c>
      <c r="D34" s="20">
        <f t="shared" ref="D34:K34" si="12">SUM(D35:D37)</f>
        <v>3878.2</v>
      </c>
      <c r="E34" s="20">
        <f t="shared" si="12"/>
        <v>1689.3638000000001</v>
      </c>
      <c r="F34" s="20">
        <f t="shared" si="12"/>
        <v>0</v>
      </c>
      <c r="G34" s="20">
        <f t="shared" si="12"/>
        <v>0</v>
      </c>
      <c r="H34" s="20">
        <f t="shared" si="12"/>
        <v>0</v>
      </c>
      <c r="I34" s="20">
        <f t="shared" si="12"/>
        <v>0</v>
      </c>
      <c r="J34" s="20">
        <f t="shared" si="12"/>
        <v>0</v>
      </c>
      <c r="K34" s="20">
        <f t="shared" si="12"/>
        <v>0</v>
      </c>
      <c r="M34" s="21"/>
      <c r="N34" s="15"/>
    </row>
    <row r="35" spans="2:14" hidden="1" outlineLevel="1">
      <c r="B35" s="437" t="s">
        <v>73</v>
      </c>
      <c r="C35" s="438">
        <f>_xlfn.XLOOKUP(C$5, 'TUC  North America'!$D$3:$L$3, 'TUC  North America'!$D$38:$L$38, 0)</f>
        <v>10768</v>
      </c>
      <c r="D35" s="438">
        <f>_xlfn.XLOOKUP(D$5, 'TUC  North America'!$D$3:$L$3, 'TUC  North America'!$D$38:$L$38, 0)</f>
        <v>3878.2</v>
      </c>
      <c r="E35" s="438">
        <f>_xlfn.XLOOKUP(E$5, 'TUC  North America'!$D$3:$L$3, 'TUC  North America'!$D$38:$L$38, 0)</f>
        <v>1689.3638000000001</v>
      </c>
      <c r="F35" s="438">
        <f>_xlfn.XLOOKUP(F$5, 'TUC  North America'!$D$3:$L$3, 'TUC  North America'!$D$38:$L$38, 0)</f>
        <v>0</v>
      </c>
      <c r="G35" s="438">
        <f>_xlfn.XLOOKUP(G$5, 'TUC  North America'!$D$3:$L$3, 'TUC  North America'!$D$38:$L$38, 0)</f>
        <v>0</v>
      </c>
      <c r="H35" s="438">
        <f>_xlfn.XLOOKUP(H$5, 'TUC  North America'!$D$3:$L$3, 'TUC  North America'!$D$38:$L$38, 0)</f>
        <v>0</v>
      </c>
      <c r="I35" s="438">
        <f>_xlfn.XLOOKUP(I$5, 'TUC  North America'!$D$3:$L$3, 'TUC  North America'!$D$38:$L$38, 0)</f>
        <v>0</v>
      </c>
      <c r="J35" s="438">
        <f>_xlfn.XLOOKUP(J$5, 'TUC  North America'!$D$3:$L$3, 'TUC  North America'!$D$38:$L$38, 0)</f>
        <v>0</v>
      </c>
      <c r="K35" s="438">
        <f>_xlfn.XLOOKUP(K$5, 'TUC  North America'!$D$3:$L$3, 'TUC  North America'!$D$38:$L$38, 0)</f>
        <v>0</v>
      </c>
      <c r="M35" s="21"/>
      <c r="N35" s="15"/>
    </row>
    <row r="36" spans="2:14" hidden="1" outlineLevel="1">
      <c r="B36" s="437" t="s">
        <v>419</v>
      </c>
      <c r="C36" s="438">
        <f>_xlfn.XLOOKUP(C$5, 'TUC International'!$E$3:$M$3, 'TUC International'!$E$54:$M$54, 0)</f>
        <v>0</v>
      </c>
      <c r="D36" s="438">
        <f>_xlfn.XLOOKUP(D$5, 'TUC International'!$E$3:$M$3, 'TUC International'!$E$54:$M$54, 0)</f>
        <v>0</v>
      </c>
      <c r="E36" s="438">
        <f>_xlfn.XLOOKUP(E$5, 'TUC International'!$E$3:$M$3, 'TUC International'!$E$54:$M$54, 0)</f>
        <v>0</v>
      </c>
      <c r="F36" s="438">
        <f>_xlfn.XLOOKUP(F$5, 'TUC International'!$E$3:$M$3, 'TUC International'!$E$54:$M$54, 0)</f>
        <v>0</v>
      </c>
      <c r="G36" s="438">
        <f>_xlfn.XLOOKUP(G$5, 'TUC International'!$E$3:$M$3, 'TUC International'!$E$54:$M$54, 0)</f>
        <v>0</v>
      </c>
      <c r="H36" s="438">
        <f>_xlfn.XLOOKUP(H$5, 'TUC International'!$E$3:$M$3, 'TUC International'!$E$54:$M$54, 0)</f>
        <v>0</v>
      </c>
      <c r="I36" s="438">
        <f>_xlfn.XLOOKUP(I$5, 'TUC International'!$E$3:$M$3, 'TUC International'!$E$54:$M$54, 0)</f>
        <v>0</v>
      </c>
      <c r="J36" s="438">
        <f>_xlfn.XLOOKUP(J$5, 'TUC International'!$E$3:$M$3, 'TUC International'!$E$54:$M$54, 0)</f>
        <v>0</v>
      </c>
      <c r="K36" s="438">
        <f>_xlfn.XLOOKUP(K$5, 'TUC International'!$E$3:$M$3, 'TUC International'!$E$54:$M$54, 0)</f>
        <v>0</v>
      </c>
      <c r="M36" s="21"/>
      <c r="N36" s="15"/>
    </row>
    <row r="37" spans="2:14" hidden="1" outlineLevel="1">
      <c r="B37" s="437" t="s">
        <v>437</v>
      </c>
      <c r="C37" s="438"/>
      <c r="D37" s="438"/>
      <c r="E37" s="438"/>
      <c r="F37" s="438"/>
      <c r="G37" s="438"/>
      <c r="H37" s="438"/>
      <c r="I37" s="438"/>
      <c r="J37" s="438"/>
      <c r="K37" s="438"/>
      <c r="M37" s="21"/>
      <c r="N37" s="15"/>
    </row>
    <row r="38" spans="2:14" collapsed="1">
      <c r="B38" s="19" t="s">
        <v>518</v>
      </c>
      <c r="C38" s="20">
        <f>SUM(C39:C47)</f>
        <v>5400</v>
      </c>
      <c r="D38" s="20">
        <f t="shared" ref="D38:K38" si="13">SUM(D39:D47)</f>
        <v>12924</v>
      </c>
      <c r="E38" s="20">
        <f t="shared" si="13"/>
        <v>22310.050000000003</v>
      </c>
      <c r="F38" s="20">
        <f t="shared" si="13"/>
        <v>43807.395000000004</v>
      </c>
      <c r="G38" s="20">
        <f t="shared" si="13"/>
        <v>46072.764750000002</v>
      </c>
      <c r="H38" s="20">
        <f t="shared" si="13"/>
        <v>48773.902987499998</v>
      </c>
      <c r="I38" s="20">
        <f t="shared" si="13"/>
        <v>51414.348136875</v>
      </c>
      <c r="J38" s="20">
        <f t="shared" si="13"/>
        <v>54547.340543718768</v>
      </c>
      <c r="K38" s="20">
        <f t="shared" si="13"/>
        <v>57690.665070904688</v>
      </c>
      <c r="M38" s="21"/>
      <c r="N38" s="15"/>
    </row>
    <row r="39" spans="2:14" hidden="1" outlineLevel="1">
      <c r="B39" s="437" t="s">
        <v>562</v>
      </c>
      <c r="C39" s="438">
        <f>_xlfn.XLOOKUP(C$5, 'Nth Bio'!$C$3:$L$3, 'Nth Bio'!$C6:$L6, 0)</f>
        <v>800</v>
      </c>
      <c r="D39" s="438">
        <f>_xlfn.XLOOKUP(D$5, 'Nth Bio'!$C$3:$L$3, 'Nth Bio'!$C6:$L6, 0)</f>
        <v>1600</v>
      </c>
      <c r="E39" s="438">
        <f>_xlfn.XLOOKUP(E$5, 'Nth Bio'!$C$3:$L$3, 'Nth Bio'!$C6:$L6, 0)</f>
        <v>2600</v>
      </c>
      <c r="F39" s="438">
        <f>_xlfn.XLOOKUP(F$5, 'Nth Bio'!$C$3:$L$3, 'Nth Bio'!$C6:$L6, 0)</f>
        <v>3600</v>
      </c>
      <c r="G39" s="438">
        <f>_xlfn.XLOOKUP(G$5, 'Nth Bio'!$C$3:$L$3, 'Nth Bio'!$C6:$L6, 0)</f>
        <v>3780</v>
      </c>
      <c r="H39" s="438">
        <f>_xlfn.XLOOKUP(H$5, 'Nth Bio'!$C$3:$L$3, 'Nth Bio'!$C6:$L6, 0)</f>
        <v>3969</v>
      </c>
      <c r="I39" s="438">
        <f>_xlfn.XLOOKUP(I$5, 'Nth Bio'!$C$3:$L$3, 'Nth Bio'!$C6:$L6, 0)</f>
        <v>4167.45</v>
      </c>
      <c r="J39" s="438">
        <f>_xlfn.XLOOKUP(J$5, 'Nth Bio'!$C$3:$L$3, 'Nth Bio'!$C6:$L6, 0)</f>
        <v>4375.8225000000002</v>
      </c>
      <c r="K39" s="438">
        <f>_xlfn.XLOOKUP(K$5, 'Nth Bio'!$C$3:$L$3, 'Nth Bio'!$C6:$L6, 0)</f>
        <v>4594.6136250000009</v>
      </c>
      <c r="M39" s="21"/>
      <c r="N39" s="15"/>
    </row>
    <row r="40" spans="2:14" hidden="1" outlineLevel="1">
      <c r="B40" s="437" t="s">
        <v>563</v>
      </c>
      <c r="C40" s="438">
        <f>_xlfn.XLOOKUP(C$5, 'Nth Bio'!$C$3:$L$3, 'Nth Bio'!$C7:$L7, 0)</f>
        <v>0</v>
      </c>
      <c r="D40" s="438">
        <f>_xlfn.XLOOKUP(D$5, 'Nth Bio'!$C$3:$L$3, 'Nth Bio'!$C7:$L7, 0)</f>
        <v>400</v>
      </c>
      <c r="E40" s="438">
        <f>_xlfn.XLOOKUP(E$5, 'Nth Bio'!$C$3:$L$3, 'Nth Bio'!$C7:$L7, 0)</f>
        <v>1400</v>
      </c>
      <c r="F40" s="438">
        <f>_xlfn.XLOOKUP(F$5, 'Nth Bio'!$C$3:$L$3, 'Nth Bio'!$C7:$L7, 0)</f>
        <v>4800</v>
      </c>
      <c r="G40" s="438">
        <f>_xlfn.XLOOKUP(G$5, 'Nth Bio'!$C$3:$L$3, 'Nth Bio'!$C7:$L7, 0)</f>
        <v>5040</v>
      </c>
      <c r="H40" s="438">
        <f>_xlfn.XLOOKUP(H$5, 'Nth Bio'!$C$3:$L$3, 'Nth Bio'!$C7:$L7, 0)</f>
        <v>5292</v>
      </c>
      <c r="I40" s="438">
        <f>_xlfn.XLOOKUP(I$5, 'Nth Bio'!$C$3:$L$3, 'Nth Bio'!$C7:$L7, 0)</f>
        <v>5556.6</v>
      </c>
      <c r="J40" s="438">
        <f>_xlfn.XLOOKUP(J$5, 'Nth Bio'!$C$3:$L$3, 'Nth Bio'!$C7:$L7, 0)</f>
        <v>5834.43</v>
      </c>
      <c r="K40" s="438">
        <f>_xlfn.XLOOKUP(K$5, 'Nth Bio'!$C$3:$L$3, 'Nth Bio'!$C7:$L7, 0)</f>
        <v>6126.1515000000009</v>
      </c>
      <c r="M40" s="21"/>
      <c r="N40" s="15"/>
    </row>
    <row r="41" spans="2:14" hidden="1" outlineLevel="1">
      <c r="B41" s="437" t="s">
        <v>643</v>
      </c>
      <c r="C41" s="438">
        <f>_xlfn.XLOOKUP(C$5, 'Nth Bio Revenue &amp; COGS'!$E$3:$M$3, 'Nth Bio Revenue &amp; COGS'!$E$23:$M$23, 0)</f>
        <v>0</v>
      </c>
      <c r="D41" s="438">
        <f>_xlfn.XLOOKUP(D$5, 'Nth Bio Revenue &amp; COGS'!$E$3:$M$3, 'Nth Bio Revenue &amp; COGS'!$E$23:$M$23, 0)</f>
        <v>0</v>
      </c>
      <c r="E41" s="438">
        <f>_xlfn.XLOOKUP(E$5, 'Nth Bio Revenue &amp; COGS'!$E$3:$M$3, 'Nth Bio Revenue &amp; COGS'!$E$23:$M$23, 0)</f>
        <v>3000</v>
      </c>
      <c r="F41" s="438">
        <f>_xlfn.XLOOKUP(F$5, 'Nth Bio Revenue &amp; COGS'!$E$3:$M$3, 'Nth Bio Revenue &amp; COGS'!$E$23:$M$23, 0)</f>
        <v>15000</v>
      </c>
      <c r="G41" s="438">
        <f>_xlfn.XLOOKUP(G$5, 'Nth Bio Revenue &amp; COGS'!$E$3:$M$3, 'Nth Bio Revenue &amp; COGS'!$E$23:$M$23, 0)</f>
        <v>15750</v>
      </c>
      <c r="H41" s="438">
        <f>_xlfn.XLOOKUP(H$5, 'Nth Bio Revenue &amp; COGS'!$E$3:$M$3, 'Nth Bio Revenue &amp; COGS'!$E$23:$M$23, 0)</f>
        <v>16537.5</v>
      </c>
      <c r="I41" s="438">
        <f>_xlfn.XLOOKUP(I$5, 'Nth Bio Revenue &amp; COGS'!$E$3:$M$3, 'Nth Bio Revenue &amp; COGS'!$E$23:$M$23, 0)</f>
        <v>17364.375</v>
      </c>
      <c r="J41" s="438">
        <f>_xlfn.XLOOKUP(J$5, 'Nth Bio Revenue &amp; COGS'!$E$3:$M$3, 'Nth Bio Revenue &amp; COGS'!$E$23:$M$23, 0)</f>
        <v>18232.59375</v>
      </c>
      <c r="K41" s="438">
        <f>_xlfn.XLOOKUP(K$5, 'Nth Bio Revenue &amp; COGS'!$E$3:$M$3, 'Nth Bio Revenue &amp; COGS'!$E$23:$M$23, 0)</f>
        <v>19144.223437500001</v>
      </c>
      <c r="M41" s="21"/>
      <c r="N41" s="15"/>
    </row>
    <row r="42" spans="2:14" hidden="1" outlineLevel="1">
      <c r="B42" s="437" t="s">
        <v>564</v>
      </c>
      <c r="C42" s="438">
        <f>_xlfn.XLOOKUP(C$5, 'Nth Bio'!$C$3:$L$3, 'Nth Bio'!$C8:$L8, 0)</f>
        <v>500</v>
      </c>
      <c r="D42" s="438">
        <f>_xlfn.XLOOKUP(D$5, 'Nth Bio'!$C$3:$L$3, 'Nth Bio'!$C8:$L8, 0)</f>
        <v>1816</v>
      </c>
      <c r="E42" s="438">
        <f>_xlfn.XLOOKUP(E$5, 'Nth Bio'!$C$3:$L$3, 'Nth Bio'!$C8:$L8, 0)</f>
        <v>2763.6000000000004</v>
      </c>
      <c r="F42" s="438">
        <f>_xlfn.XLOOKUP(F$5, 'Nth Bio'!$C$3:$L$3, 'Nth Bio'!$C8:$L8, 0)</f>
        <v>3801.4200000000005</v>
      </c>
      <c r="G42" s="438">
        <f>_xlfn.XLOOKUP(G$5, 'Nth Bio'!$C$3:$L$3, 'Nth Bio'!$C8:$L8, 0)</f>
        <v>3991.4910000000009</v>
      </c>
      <c r="H42" s="438">
        <f>_xlfn.XLOOKUP(H$5, 'Nth Bio'!$C$3:$L$3, 'Nth Bio'!$C8:$L8, 0)</f>
        <v>4191.0655500000012</v>
      </c>
      <c r="I42" s="438">
        <f>_xlfn.XLOOKUP(I$5, 'Nth Bio'!$C$3:$L$3, 'Nth Bio'!$C8:$L8, 0)</f>
        <v>4400.6188275000004</v>
      </c>
      <c r="J42" s="438">
        <f>_xlfn.XLOOKUP(J$5, 'Nth Bio'!$C$3:$L$3, 'Nth Bio'!$C8:$L8, 0)</f>
        <v>4620.6497688750014</v>
      </c>
      <c r="K42" s="438">
        <f>_xlfn.XLOOKUP(K$5, 'Nth Bio'!$C$3:$L$3, 'Nth Bio'!$C8:$L8, 0)</f>
        <v>4851.682257318751</v>
      </c>
      <c r="M42" s="21"/>
      <c r="N42" s="15"/>
    </row>
    <row r="43" spans="2:14" hidden="1" outlineLevel="1">
      <c r="B43" s="437" t="s">
        <v>565</v>
      </c>
      <c r="C43" s="438">
        <f>_xlfn.XLOOKUP(C$5, 'Nth Bio'!$C$3:$L$3, 'Nth Bio'!$C9:$L9, 0)</f>
        <v>0</v>
      </c>
      <c r="D43" s="438">
        <f>_xlfn.XLOOKUP(D$5, 'Nth Bio'!$C$3:$L$3, 'Nth Bio'!$C9:$L9, 0)</f>
        <v>408</v>
      </c>
      <c r="E43" s="438">
        <f>_xlfn.XLOOKUP(E$5, 'Nth Bio'!$C$3:$L$3, 'Nth Bio'!$C9:$L9, 0)</f>
        <v>1285.2</v>
      </c>
      <c r="F43" s="438">
        <f>_xlfn.XLOOKUP(F$5, 'Nth Bio'!$C$3:$L$3, 'Nth Bio'!$C9:$L9, 0)</f>
        <v>2249.1000000000004</v>
      </c>
      <c r="G43" s="438">
        <f>_xlfn.XLOOKUP(G$5, 'Nth Bio'!$C$3:$L$3, 'Nth Bio'!$C9:$L9, 0)</f>
        <v>2361.5550000000007</v>
      </c>
      <c r="H43" s="438">
        <f>_xlfn.XLOOKUP(H$5, 'Nth Bio'!$C$3:$L$3, 'Nth Bio'!$C9:$L9, 0)</f>
        <v>2479.6327500000007</v>
      </c>
      <c r="I43" s="438">
        <f>_xlfn.XLOOKUP(I$5, 'Nth Bio'!$C$3:$L$3, 'Nth Bio'!$C9:$L9, 0)</f>
        <v>2603.6143875000007</v>
      </c>
      <c r="J43" s="438">
        <f>_xlfn.XLOOKUP(J$5, 'Nth Bio'!$C$3:$L$3, 'Nth Bio'!$C9:$L9, 0)</f>
        <v>2733.7951068750008</v>
      </c>
      <c r="K43" s="438">
        <f>_xlfn.XLOOKUP(K$5, 'Nth Bio'!$C$3:$L$3, 'Nth Bio'!$C9:$L9, 0)</f>
        <v>2870.484862218751</v>
      </c>
      <c r="M43" s="21"/>
      <c r="N43" s="15"/>
    </row>
    <row r="44" spans="2:14" hidden="1" outlineLevel="1">
      <c r="B44" s="437" t="s">
        <v>566</v>
      </c>
      <c r="C44" s="438">
        <f>_xlfn.XLOOKUP(C$5, 'Nth Bio'!$C$3:$L$3, 'Nth Bio'!$C10:$L10, 0)</f>
        <v>4100</v>
      </c>
      <c r="D44" s="438">
        <f>_xlfn.XLOOKUP(D$5, 'Nth Bio'!$C$3:$L$3, 'Nth Bio'!$C10:$L10, 0)</f>
        <v>4500</v>
      </c>
      <c r="E44" s="438">
        <f>_xlfn.XLOOKUP(E$5, 'Nth Bio'!$C$3:$L$3, 'Nth Bio'!$C10:$L10, 0)</f>
        <v>6300</v>
      </c>
      <c r="F44" s="438">
        <f>_xlfn.XLOOKUP(F$5, 'Nth Bio'!$C$3:$L$3, 'Nth Bio'!$C10:$L10, 0)</f>
        <v>8268.75</v>
      </c>
      <c r="G44" s="438">
        <f>_xlfn.XLOOKUP(G$5, 'Nth Bio'!$C$3:$L$3, 'Nth Bio'!$C10:$L10, 0)</f>
        <v>8682.1875</v>
      </c>
      <c r="H44" s="438">
        <f>_xlfn.XLOOKUP(H$5, 'Nth Bio'!$C$3:$L$3, 'Nth Bio'!$C10:$L10, 0)</f>
        <v>9116.296875</v>
      </c>
      <c r="I44" s="438">
        <f>_xlfn.XLOOKUP(I$5, 'Nth Bio'!$C$3:$L$3, 'Nth Bio'!$C10:$L10, 0)</f>
        <v>9572.1117187500004</v>
      </c>
      <c r="J44" s="438">
        <f>_xlfn.XLOOKUP(J$5, 'Nth Bio'!$C$3:$L$3, 'Nth Bio'!$C10:$L10, 0)</f>
        <v>10050.717304687501</v>
      </c>
      <c r="K44" s="438">
        <f>_xlfn.XLOOKUP(K$5, 'Nth Bio'!$C$3:$L$3, 'Nth Bio'!$C10:$L10, 0)</f>
        <v>10553.253169921878</v>
      </c>
      <c r="M44" s="21"/>
      <c r="N44" s="15"/>
    </row>
    <row r="45" spans="2:14" hidden="1" outlineLevel="1">
      <c r="B45" s="437" t="s">
        <v>578</v>
      </c>
      <c r="C45" s="438">
        <f>_xlfn.XLOOKUP(C$5, 'Nth Bio'!$C$3:$L$3, 'Nth Bio'!$C11:$L11, 0)</f>
        <v>0</v>
      </c>
      <c r="D45" s="438">
        <f>_xlfn.XLOOKUP(D$5, 'Nth Bio'!$C$3:$L$3, 'Nth Bio'!$C11:$L11, 0)</f>
        <v>2625</v>
      </c>
      <c r="E45" s="438">
        <f>_xlfn.XLOOKUP(E$5, 'Nth Bio'!$C$3:$L$3, 'Nth Bio'!$C11:$L11, 0)</f>
        <v>2756.25</v>
      </c>
      <c r="F45" s="438">
        <f>_xlfn.XLOOKUP(F$5, 'Nth Bio'!$C$3:$L$3, 'Nth Bio'!$C11:$L11, 0)</f>
        <v>2894.0625</v>
      </c>
      <c r="G45" s="438">
        <f>_xlfn.XLOOKUP(G$5, 'Nth Bio'!$C$3:$L$3, 'Nth Bio'!$C11:$L11, 0)</f>
        <v>3038.765625</v>
      </c>
      <c r="H45" s="438">
        <f>_xlfn.XLOOKUP(H$5, 'Nth Bio'!$C$3:$L$3, 'Nth Bio'!$C11:$L11, 0)</f>
        <v>3190.7039062500003</v>
      </c>
      <c r="I45" s="438">
        <f>_xlfn.XLOOKUP(I$5, 'Nth Bio'!$C$3:$L$3, 'Nth Bio'!$C11:$L11, 0)</f>
        <v>3350.2391015625003</v>
      </c>
      <c r="J45" s="438">
        <f>_xlfn.XLOOKUP(J$5, 'Nth Bio'!$C$3:$L$3, 'Nth Bio'!$C11:$L11, 0)</f>
        <v>3517.7510566406254</v>
      </c>
      <c r="K45" s="438">
        <f>_xlfn.XLOOKUP(K$5, 'Nth Bio'!$C$3:$L$3, 'Nth Bio'!$C11:$L11, 0)</f>
        <v>3693.6386094726568</v>
      </c>
      <c r="M45" s="21"/>
      <c r="N45" s="15"/>
    </row>
    <row r="46" spans="2:14" hidden="1" outlineLevel="1">
      <c r="B46" s="437" t="s">
        <v>579</v>
      </c>
      <c r="C46" s="438">
        <f>_xlfn.XLOOKUP(C$5, 'Nth Bio'!$C$3:$L$3, 'Nth Bio'!$C12:$L12, 0)</f>
        <v>0</v>
      </c>
      <c r="D46" s="438">
        <f>_xlfn.XLOOKUP(D$5, 'Nth Bio'!$C$3:$L$3, 'Nth Bio'!$C12:$L12, 0)</f>
        <v>1575</v>
      </c>
      <c r="E46" s="438">
        <f>_xlfn.XLOOKUP(E$5, 'Nth Bio'!$C$3:$L$3, 'Nth Bio'!$C12:$L12, 0)</f>
        <v>2205</v>
      </c>
      <c r="F46" s="438">
        <f>_xlfn.XLOOKUP(F$5, 'Nth Bio'!$C$3:$L$3, 'Nth Bio'!$C12:$L12, 0)</f>
        <v>2894.0625</v>
      </c>
      <c r="G46" s="438">
        <f>_xlfn.XLOOKUP(G$5, 'Nth Bio'!$C$3:$L$3, 'Nth Bio'!$C12:$L12, 0)</f>
        <v>3038.7656250000005</v>
      </c>
      <c r="H46" s="438">
        <f>_xlfn.XLOOKUP(H$5, 'Nth Bio'!$C$3:$L$3, 'Nth Bio'!$C12:$L12, 0)</f>
        <v>3190.7039062500007</v>
      </c>
      <c r="I46" s="438">
        <f>_xlfn.XLOOKUP(I$5, 'Nth Bio'!$C$3:$L$3, 'Nth Bio'!$C12:$L12, 0)</f>
        <v>3350.2391015625012</v>
      </c>
      <c r="J46" s="438">
        <f>_xlfn.XLOOKUP(J$5, 'Nth Bio'!$C$3:$L$3, 'Nth Bio'!$C12:$L12, 0)</f>
        <v>3517.7510566406263</v>
      </c>
      <c r="K46" s="438">
        <f>_xlfn.XLOOKUP(K$5, 'Nth Bio'!$C$3:$L$3, 'Nth Bio'!$C12:$L12, 0)</f>
        <v>3693.6386094726577</v>
      </c>
      <c r="M46" s="21"/>
      <c r="N46" s="15"/>
    </row>
    <row r="47" spans="2:14" hidden="1" outlineLevel="1">
      <c r="B47" s="437" t="s">
        <v>580</v>
      </c>
      <c r="C47" s="438">
        <f>_xlfn.XLOOKUP(C$5, 'Nth Bio'!$C$3:$L$3, 'Nth Bio'!$C13:$L13, 0)</f>
        <v>0</v>
      </c>
      <c r="D47" s="438">
        <f>_xlfn.XLOOKUP(D$5, 'Nth Bio'!$C$3:$L$3, 'Nth Bio'!$C13:$L13, 0)</f>
        <v>0</v>
      </c>
      <c r="E47" s="438">
        <f>_xlfn.XLOOKUP(E$5, 'Nth Bio'!$C$3:$L$3, 'Nth Bio'!$C13:$L13, 0)</f>
        <v>0</v>
      </c>
      <c r="F47" s="438">
        <f>_xlfn.XLOOKUP(F$5, 'Nth Bio'!$C$3:$L$3, 'Nth Bio'!$C13:$L13, 0)</f>
        <v>300</v>
      </c>
      <c r="G47" s="438">
        <f>_xlfn.XLOOKUP(G$5, 'Nth Bio'!$C$3:$L$3, 'Nth Bio'!$C13:$L13, 0)</f>
        <v>390</v>
      </c>
      <c r="H47" s="438">
        <f>_xlfn.XLOOKUP(H$5, 'Nth Bio'!$C$3:$L$3, 'Nth Bio'!$C13:$L13, 0)</f>
        <v>807</v>
      </c>
      <c r="I47" s="438">
        <f>_xlfn.XLOOKUP(I$5, 'Nth Bio'!$C$3:$L$3, 'Nth Bio'!$C13:$L13, 0)</f>
        <v>1049.1000000000001</v>
      </c>
      <c r="J47" s="438">
        <f>_xlfn.XLOOKUP(J$5, 'Nth Bio'!$C$3:$L$3, 'Nth Bio'!$C13:$L13, 0)</f>
        <v>1663.8300000000004</v>
      </c>
      <c r="K47" s="438">
        <f>_xlfn.XLOOKUP(K$5, 'Nth Bio'!$C$3:$L$3, 'Nth Bio'!$C13:$L13, 0)</f>
        <v>2162.9790000000003</v>
      </c>
      <c r="M47" s="21"/>
      <c r="N47" s="15"/>
    </row>
    <row r="48" spans="2:14" ht="15" customHeight="1" collapsed="1" thickBot="1">
      <c r="B48" s="23" t="s">
        <v>76</v>
      </c>
      <c r="C48" s="24">
        <f t="shared" ref="C48:K48" si="14">C24+C30+C35+C36+C37+C38</f>
        <v>70599.663835616433</v>
      </c>
      <c r="D48" s="24">
        <f t="shared" si="14"/>
        <v>91063.142739726012</v>
      </c>
      <c r="E48" s="24">
        <f t="shared" si="14"/>
        <v>144268.06051746575</v>
      </c>
      <c r="F48" s="24">
        <f t="shared" si="14"/>
        <v>325375.00428657536</v>
      </c>
      <c r="G48" s="24">
        <f t="shared" si="14"/>
        <v>549813.33858461212</v>
      </c>
      <c r="H48" s="24">
        <f t="shared" si="14"/>
        <v>607040.24426200963</v>
      </c>
      <c r="I48" s="24">
        <f t="shared" si="14"/>
        <v>649273.33248965698</v>
      </c>
      <c r="J48" s="24">
        <f t="shared" si="14"/>
        <v>667538.48905601283</v>
      </c>
      <c r="K48" s="24">
        <f t="shared" si="14"/>
        <v>674147.99587250175</v>
      </c>
      <c r="M48" s="21"/>
      <c r="N48" s="15"/>
    </row>
    <row r="49" spans="2:14">
      <c r="B49" s="19" t="str">
        <f>$B$24</f>
        <v>B2B Global</v>
      </c>
      <c r="C49" s="25">
        <f t="shared" ref="C49:K49" si="15">C24/C$48</f>
        <v>0.13276074313101721</v>
      </c>
      <c r="D49" s="25">
        <f t="shared" si="15"/>
        <v>0.22802422709124812</v>
      </c>
      <c r="E49" s="25">
        <f t="shared" si="15"/>
        <v>0.43270630861436032</v>
      </c>
      <c r="F49" s="25">
        <f t="shared" si="15"/>
        <v>0.67295721142034137</v>
      </c>
      <c r="G49" s="25">
        <f t="shared" si="15"/>
        <v>0.79285008862477324</v>
      </c>
      <c r="H49" s="25">
        <f t="shared" si="15"/>
        <v>0.80300018487107339</v>
      </c>
      <c r="I49" s="25">
        <f t="shared" si="15"/>
        <v>0.80671240726255056</v>
      </c>
      <c r="J49" s="25">
        <f t="shared" si="15"/>
        <v>0.80803324485910455</v>
      </c>
      <c r="K49" s="25">
        <f t="shared" si="15"/>
        <v>0.80461195653869899</v>
      </c>
      <c r="M49" s="21"/>
      <c r="N49" s="15"/>
    </row>
    <row r="50" spans="2:14">
      <c r="B50" s="19" t="str">
        <f>$B$35</f>
        <v>TUC</v>
      </c>
      <c r="C50" s="25">
        <f>C35/C$48</f>
        <v>0.15252197269766193</v>
      </c>
      <c r="D50" s="25">
        <f t="shared" ref="C50:F53" si="16">D35/D$48</f>
        <v>4.2588031593468682E-2</v>
      </c>
      <c r="E50" s="25">
        <f t="shared" si="16"/>
        <v>1.1709894719181298E-2</v>
      </c>
      <c r="F50" s="25">
        <f t="shared" si="16"/>
        <v>0</v>
      </c>
      <c r="G50" s="25">
        <f t="shared" ref="G50:J50" si="17">G35/G$48</f>
        <v>0</v>
      </c>
      <c r="H50" s="25">
        <f t="shared" si="17"/>
        <v>0</v>
      </c>
      <c r="I50" s="25">
        <f t="shared" si="17"/>
        <v>0</v>
      </c>
      <c r="J50" s="25">
        <f t="shared" si="17"/>
        <v>0</v>
      </c>
      <c r="K50" s="25">
        <f t="shared" ref="K50" si="18">K35/K$48</f>
        <v>0</v>
      </c>
      <c r="M50" s="21"/>
      <c r="N50" s="15"/>
    </row>
    <row r="51" spans="2:14">
      <c r="B51" s="19" t="str">
        <f>$B$36</f>
        <v>TUC International (Excl. JV)</v>
      </c>
      <c r="C51" s="25">
        <f t="shared" si="16"/>
        <v>0</v>
      </c>
      <c r="D51" s="25">
        <f t="shared" si="16"/>
        <v>0</v>
      </c>
      <c r="E51" s="25">
        <f t="shared" si="16"/>
        <v>0</v>
      </c>
      <c r="F51" s="25">
        <f t="shared" si="16"/>
        <v>0</v>
      </c>
      <c r="G51" s="25">
        <f t="shared" ref="G51:K52" si="19">G36/G$48</f>
        <v>0</v>
      </c>
      <c r="H51" s="25">
        <f t="shared" si="19"/>
        <v>0</v>
      </c>
      <c r="I51" s="25">
        <f t="shared" si="19"/>
        <v>0</v>
      </c>
      <c r="J51" s="25">
        <f t="shared" si="19"/>
        <v>0</v>
      </c>
      <c r="K51" s="25">
        <f t="shared" si="19"/>
        <v>0</v>
      </c>
      <c r="M51" s="21"/>
      <c r="N51" s="15"/>
    </row>
    <row r="52" spans="2:14">
      <c r="B52" s="19" t="str">
        <f>$B$37</f>
        <v>TUC JV</v>
      </c>
      <c r="C52" s="25">
        <f t="shared" si="16"/>
        <v>0</v>
      </c>
      <c r="D52" s="25">
        <f t="shared" si="16"/>
        <v>0</v>
      </c>
      <c r="E52" s="25">
        <f t="shared" si="16"/>
        <v>0</v>
      </c>
      <c r="F52" s="25">
        <f t="shared" si="16"/>
        <v>0</v>
      </c>
      <c r="G52" s="25">
        <f t="shared" si="19"/>
        <v>0</v>
      </c>
      <c r="H52" s="25">
        <f t="shared" si="19"/>
        <v>0</v>
      </c>
      <c r="I52" s="25">
        <f t="shared" si="19"/>
        <v>0</v>
      </c>
      <c r="J52" s="25">
        <f t="shared" si="19"/>
        <v>0</v>
      </c>
      <c r="K52" s="25">
        <f t="shared" si="19"/>
        <v>0</v>
      </c>
      <c r="M52" s="21"/>
      <c r="N52" s="15"/>
    </row>
    <row r="53" spans="2:14">
      <c r="B53" s="19" t="str">
        <f>$B$38</f>
        <v>nth Bio</v>
      </c>
      <c r="C53" s="25">
        <f t="shared" si="16"/>
        <v>7.648761632312169E-2</v>
      </c>
      <c r="D53" s="25">
        <f t="shared" si="16"/>
        <v>0.14192350067402126</v>
      </c>
      <c r="E53" s="25">
        <f t="shared" si="16"/>
        <v>0.15464302992621881</v>
      </c>
      <c r="F53" s="25">
        <f t="shared" si="16"/>
        <v>0.13463663287858604</v>
      </c>
      <c r="G53" s="25">
        <f t="shared" ref="G53:J53" si="20">G38/G$48</f>
        <v>8.3797102610506699E-2</v>
      </c>
      <c r="H53" s="25">
        <f t="shared" si="20"/>
        <v>8.0347066687144211E-2</v>
      </c>
      <c r="I53" s="25">
        <f t="shared" si="20"/>
        <v>7.9187524828295691E-2</v>
      </c>
      <c r="J53" s="25">
        <f t="shared" si="20"/>
        <v>8.1714150476710157E-2</v>
      </c>
      <c r="K53" s="25">
        <f t="shared" ref="K53" si="21">K38/K$48</f>
        <v>8.5575667989993456E-2</v>
      </c>
      <c r="M53" s="21"/>
      <c r="N53" s="15"/>
    </row>
    <row r="54" spans="2:14" ht="3.75" customHeight="1">
      <c r="C54" s="14"/>
      <c r="D54" s="14"/>
      <c r="E54" s="14"/>
      <c r="F54" s="14"/>
      <c r="G54" s="14"/>
      <c r="H54" s="14"/>
      <c r="I54" s="14"/>
      <c r="J54" s="14"/>
      <c r="K54" s="14"/>
      <c r="M54" s="21"/>
      <c r="N54" s="15"/>
    </row>
    <row r="55" spans="2:14" s="15" customFormat="1" ht="15" customHeight="1">
      <c r="B55" s="431" t="s">
        <v>77</v>
      </c>
      <c r="C55" s="432"/>
      <c r="D55" s="432"/>
      <c r="E55" s="432"/>
      <c r="F55" s="432"/>
      <c r="G55" s="432"/>
      <c r="H55" s="432"/>
      <c r="I55" s="432"/>
      <c r="J55" s="432"/>
      <c r="K55" s="432"/>
      <c r="M55" s="21"/>
    </row>
    <row r="56" spans="2:14">
      <c r="B56" s="19" t="str">
        <f>$B$24</f>
        <v>B2B Global</v>
      </c>
      <c r="C56" s="20">
        <f>SUM(C57:C61)</f>
        <v>48245.716228958176</v>
      </c>
      <c r="D56" s="20">
        <f t="shared" ref="D56:K56" si="22">SUM(D57:D61)</f>
        <v>61577.826485582511</v>
      </c>
      <c r="E56" s="20">
        <f t="shared" si="22"/>
        <v>79852.892310147407</v>
      </c>
      <c r="F56" s="20">
        <f t="shared" si="22"/>
        <v>169454.61519476079</v>
      </c>
      <c r="G56" s="20">
        <f t="shared" si="22"/>
        <v>263272.99298993527</v>
      </c>
      <c r="H56" s="20">
        <f t="shared" si="22"/>
        <v>305803.88219830015</v>
      </c>
      <c r="I56" s="20">
        <f t="shared" si="22"/>
        <v>326660.05214559182</v>
      </c>
      <c r="J56" s="20">
        <f t="shared" si="22"/>
        <v>339521.26735267747</v>
      </c>
      <c r="K56" s="20">
        <f t="shared" si="22"/>
        <v>341354.87771372439</v>
      </c>
      <c r="M56" s="21"/>
      <c r="N56" s="15"/>
    </row>
    <row r="57" spans="2:14" hidden="1" outlineLevel="1">
      <c r="B57" s="437" t="str">
        <f>$B$25</f>
        <v>LGB Grade A</v>
      </c>
      <c r="C57" s="438">
        <f>_xlfn.XLOOKUP(C$5, Ingredients!$D$5:$M$5, Ingredients!$D$52:$M$52, 0)  +  _xlfn.XLOOKUP(C$5, Ingredients!$C$5:$M$5, Ingredients!$C$73:$M$73, 0)</f>
        <v>48245.716228958176</v>
      </c>
      <c r="D57" s="438">
        <f>_xlfn.XLOOKUP(D$5, Ingredients!$D$5:$M$5, Ingredients!$D$52:$M$52, 0)  +  _xlfn.XLOOKUP(D$5, Ingredients!$C$5:$M$5, Ingredients!$C$73:$M$73, 0)</f>
        <v>61577.826485582511</v>
      </c>
      <c r="E57" s="438">
        <f>_xlfn.XLOOKUP(E$5, Ingredients!$D$5:$M$5, Ingredients!$D$52:$M$52, 0)  +  _xlfn.XLOOKUP(E$5, Ingredients!$C$5:$M$5, Ingredients!$C$73:$M$73, 0)</f>
        <v>62065.058213803175</v>
      </c>
      <c r="F57" s="438">
        <f>_xlfn.XLOOKUP(F$5, Ingredients!$D$5:$M$5, Ingredients!$D$52:$M$52, 0)  +  _xlfn.XLOOKUP(F$5, Ingredients!$C$5:$M$5, Ingredients!$C$73:$M$73, 0)</f>
        <v>74790.725282198982</v>
      </c>
      <c r="G57" s="438">
        <f>_xlfn.XLOOKUP(G$5, Ingredients!$D$5:$M$5, Ingredients!$D$52:$M$52, 0)  +  _xlfn.XLOOKUP(G$5, Ingredients!$C$5:$M$5, Ingredients!$C$73:$M$73, 0)</f>
        <v>56580.876863985352</v>
      </c>
      <c r="H57" s="438">
        <f>_xlfn.XLOOKUP(H$5, Ingredients!$D$5:$M$5, Ingredients!$D$52:$M$52, 0)  +  _xlfn.XLOOKUP(H$5, Ingredients!$C$5:$M$5, Ingredients!$C$73:$M$73, 0)</f>
        <v>59778.66347500425</v>
      </c>
      <c r="I57" s="438">
        <f>_xlfn.XLOOKUP(I$5, Ingredients!$D$5:$M$5, Ingredients!$D$52:$M$52, 0)  +  _xlfn.XLOOKUP(I$5, Ingredients!$C$5:$M$5, Ingredients!$C$73:$M$73, 0)</f>
        <v>59639.663556645013</v>
      </c>
      <c r="J57" s="438">
        <f>_xlfn.XLOOKUP(J$5, Ingredients!$D$5:$M$5, Ingredients!$D$52:$M$52, 0)  +  _xlfn.XLOOKUP(J$5, Ingredients!$C$5:$M$5, Ingredients!$C$73:$M$73, 0)</f>
        <v>59338.092519668309</v>
      </c>
      <c r="K57" s="438">
        <f>_xlfn.XLOOKUP(K$5, Ingredients!$D$5:$M$5, Ingredients!$D$52:$M$52, 0)  +  _xlfn.XLOOKUP(K$5, Ingredients!$C$5:$M$5, Ingredients!$C$73:$M$73, 0)</f>
        <v>59396.463728852599</v>
      </c>
      <c r="M57" s="21"/>
      <c r="N57" s="15"/>
    </row>
    <row r="58" spans="2:14" hidden="1" outlineLevel="1">
      <c r="B58" s="437" t="str">
        <f>$B$26</f>
        <v>LGB Grade B</v>
      </c>
      <c r="C58" s="438">
        <f>_xlfn.XLOOKUP(C$5, Ingredients!$O$5:$X$5, Ingredients!$O$52:$X$52, 0)</f>
        <v>0</v>
      </c>
      <c r="D58" s="438">
        <f>_xlfn.XLOOKUP(D$5, Ingredients!$O$5:$X$5, Ingredients!$O$52:$X$52, 0)</f>
        <v>0</v>
      </c>
      <c r="E58" s="438">
        <f>_xlfn.XLOOKUP(E$5, Ingredients!$O$5:$X$5, Ingredients!$O$52:$X$52, 0)</f>
        <v>16412.351449056576</v>
      </c>
      <c r="F58" s="438">
        <f>_xlfn.XLOOKUP(F$5, Ingredients!$O$5:$X$5, Ingredients!$O$52:$X$52, 0)</f>
        <v>85198.06404442378</v>
      </c>
      <c r="G58" s="438">
        <f>_xlfn.XLOOKUP(G$5, Ingredients!$O$5:$X$5, Ingredients!$O$52:$X$52, 0)</f>
        <v>176331.52968199804</v>
      </c>
      <c r="H58" s="438">
        <f>_xlfn.XLOOKUP(H$5, Ingredients!$O$5:$X$5, Ingredients!$O$52:$X$52, 0)</f>
        <v>185816.93716164827</v>
      </c>
      <c r="I58" s="438">
        <f>_xlfn.XLOOKUP(I$5, Ingredients!$O$5:$X$5, Ingredients!$O$52:$X$52, 0)</f>
        <v>184306.25299794599</v>
      </c>
      <c r="J58" s="438">
        <f>_xlfn.XLOOKUP(J$5, Ingredients!$O$5:$X$5, Ingredients!$O$52:$X$52, 0)</f>
        <v>182480.00603379527</v>
      </c>
      <c r="K58" s="438">
        <f>_xlfn.XLOOKUP(K$5, Ingredients!$O$5:$X$5, Ingredients!$O$52:$X$52, 0)</f>
        <v>180829.61432617073</v>
      </c>
      <c r="M58" s="21"/>
      <c r="N58" s="15"/>
    </row>
    <row r="59" spans="2:14" hidden="1" outlineLevel="1">
      <c r="B59" s="437" t="str">
        <f>$B$27</f>
        <v>Biomass</v>
      </c>
      <c r="C59" s="438">
        <f>_xlfn.XLOOKUP(C$5, Ingredients!$Z$5:$AI$5, Ingredients!$Z$52:$AI$52, 0)</f>
        <v>0</v>
      </c>
      <c r="D59" s="438">
        <f>_xlfn.XLOOKUP(D$5, Ingredients!$Z$5:$AI$5, Ingredients!$Z$52:$AI$52, 0)</f>
        <v>0</v>
      </c>
      <c r="E59" s="438">
        <f>_xlfn.XLOOKUP(E$5, Ingredients!$Z$5:$AI$5, Ingredients!$Z$52:$AI$52, 0)</f>
        <v>1083.0168938630136</v>
      </c>
      <c r="F59" s="438">
        <f>_xlfn.XLOOKUP(F$5, Ingredients!$Z$5:$AI$5, Ingredients!$Z$52:$AI$52, 0)</f>
        <v>8038.976553069554</v>
      </c>
      <c r="G59" s="438">
        <f>_xlfn.XLOOKUP(G$5, Ingredients!$Z$5:$AI$5, Ingredients!$Z$52:$AI$52, 0)</f>
        <v>16405.618540373736</v>
      </c>
      <c r="H59" s="438">
        <f>_xlfn.XLOOKUP(H$5, Ingredients!$Z$5:$AI$5, Ingredients!$Z$52:$AI$52, 0)</f>
        <v>17499.899841887571</v>
      </c>
      <c r="I59" s="438">
        <f>_xlfn.XLOOKUP(I$5, Ingredients!$Z$5:$AI$5, Ingredients!$Z$52:$AI$52, 0)</f>
        <v>17534.770387199998</v>
      </c>
      <c r="J59" s="438">
        <f>_xlfn.XLOOKUP(J$5, Ingredients!$Z$5:$AI$5, Ingredients!$Z$52:$AI$52, 0)</f>
        <v>17534.770387199998</v>
      </c>
      <c r="K59" s="438">
        <f>_xlfn.XLOOKUP(K$5, Ingredients!$Z$5:$AI$5, Ingredients!$Z$52:$AI$52, 0)</f>
        <v>17534.770387199998</v>
      </c>
      <c r="M59" s="21"/>
      <c r="N59" s="15"/>
    </row>
    <row r="60" spans="2:14" hidden="1" outlineLevel="1">
      <c r="B60" s="437" t="str">
        <f>$B$28</f>
        <v>Brazzein</v>
      </c>
      <c r="C60" s="438">
        <f>_xlfn.XLOOKUP(C$5, Ingredients!$AK$5:$AT$5, Ingredients!$AK$52:$AT$52, 0)</f>
        <v>0</v>
      </c>
      <c r="D60" s="438">
        <f>_xlfn.XLOOKUP(D$5, Ingredients!$AK$5:$AT$5, Ingredients!$AK$52:$AT$52, 0)</f>
        <v>0</v>
      </c>
      <c r="E60" s="438">
        <f>_xlfn.XLOOKUP(E$5, Ingredients!$AK$5:$AT$5, Ingredients!$AK$52:$AT$52, 0)</f>
        <v>292.46575342465752</v>
      </c>
      <c r="F60" s="438">
        <f>_xlfn.XLOOKUP(F$5, Ingredients!$AK$5:$AT$5, Ingredients!$AK$52:$AT$52, 0)</f>
        <v>1426.8493150684933</v>
      </c>
      <c r="G60" s="438">
        <f>_xlfn.XLOOKUP(G$5, Ingredients!$AK$5:$AT$5, Ingredients!$AK$52:$AT$52, 0)</f>
        <v>4096.5858908537803</v>
      </c>
      <c r="H60" s="438">
        <f>_xlfn.XLOOKUP(H$5, Ingredients!$AK$5:$AT$5, Ingredients!$AK$52:$AT$52, 0)</f>
        <v>5811.9587235408826</v>
      </c>
      <c r="I60" s="438">
        <f>_xlfn.XLOOKUP(I$5, Ingredients!$AK$5:$AT$5, Ingredients!$AK$52:$AT$52, 0)</f>
        <v>8334.2162595388581</v>
      </c>
      <c r="J60" s="438">
        <f>_xlfn.XLOOKUP(J$5, Ingredients!$AK$5:$AT$5, Ingredients!$AK$52:$AT$52, 0)</f>
        <v>12047.098628672427</v>
      </c>
      <c r="K60" s="438">
        <f>_xlfn.XLOOKUP(K$5, Ingredients!$AK$5:$AT$5, Ingredients!$AK$52:$AT$52, 0)</f>
        <v>12751.540103679001</v>
      </c>
      <c r="M60" s="21"/>
      <c r="N60" s="15"/>
    </row>
    <row r="61" spans="2:14" hidden="1" outlineLevel="1">
      <c r="B61" s="437" t="str">
        <f>$B$29</f>
        <v>LAA</v>
      </c>
      <c r="C61" s="438">
        <f>_xlfn.XLOOKUP(C$5, Ingredients!$AV$5:$BE$5, Ingredients!$AV$52:$BE$52, 0)</f>
        <v>0</v>
      </c>
      <c r="D61" s="438">
        <f>_xlfn.XLOOKUP(D$5, Ingredients!$AV$5:$BE$5, Ingredients!$AV$52:$BE$52, 0)</f>
        <v>0</v>
      </c>
      <c r="E61" s="438">
        <f>_xlfn.XLOOKUP(E$5, Ingredients!$AV$5:$BE$5, Ingredients!$AV$52:$BE$52, 0)</f>
        <v>0</v>
      </c>
      <c r="F61" s="438">
        <f>_xlfn.XLOOKUP(F$5, Ingredients!$AV$5:$BE$5, Ingredients!$AV$52:$BE$52, 0)</f>
        <v>0</v>
      </c>
      <c r="G61" s="438">
        <f>_xlfn.XLOOKUP(G$5, Ingredients!$AV$5:$BE$5, Ingredients!$AV$52:$BE$52, 0)</f>
        <v>9858.3820127243416</v>
      </c>
      <c r="H61" s="438">
        <f>_xlfn.XLOOKUP(H$5, Ingredients!$AV$5:$BE$5, Ingredients!$AV$52:$BE$52, 0)</f>
        <v>36896.422996219211</v>
      </c>
      <c r="I61" s="438">
        <f>_xlfn.XLOOKUP(I$5, Ingredients!$AV$5:$BE$5, Ingredients!$AV$52:$BE$52, 0)</f>
        <v>56845.14894426195</v>
      </c>
      <c r="J61" s="438">
        <f>_xlfn.XLOOKUP(J$5, Ingredients!$AV$5:$BE$5, Ingredients!$AV$52:$BE$52, 0)</f>
        <v>68121.29978334147</v>
      </c>
      <c r="K61" s="438">
        <f>_xlfn.XLOOKUP(K$5, Ingredients!$AV$5:$BE$5, Ingredients!$AV$52:$BE$52, 0)</f>
        <v>70842.489167822045</v>
      </c>
      <c r="M61" s="21"/>
      <c r="N61" s="15"/>
    </row>
    <row r="62" spans="2:14" collapsed="1">
      <c r="B62" s="19" t="str">
        <f>$B$30</f>
        <v>SBL (Excl. LGB)</v>
      </c>
      <c r="C62" s="20">
        <f>SUM(C63:C65)</f>
        <v>35447.949999999997</v>
      </c>
      <c r="D62" s="20">
        <f t="shared" ref="D62:K62" si="23">SUM(D63:D65)</f>
        <v>41040.777000000002</v>
      </c>
      <c r="E62" s="20">
        <f t="shared" si="23"/>
        <v>43970.071689999997</v>
      </c>
      <c r="F62" s="20">
        <f t="shared" si="23"/>
        <v>47172.948198300001</v>
      </c>
      <c r="G62" s="20">
        <f t="shared" si="23"/>
        <v>50676.279759001001</v>
      </c>
      <c r="H62" s="20">
        <f t="shared" si="23"/>
        <v>52732.762565818077</v>
      </c>
      <c r="I62" s="20">
        <f t="shared" si="23"/>
        <v>54949.805667292618</v>
      </c>
      <c r="J62" s="20">
        <f t="shared" si="23"/>
        <v>54724.114384973887</v>
      </c>
      <c r="K62" s="20">
        <f t="shared" si="23"/>
        <v>55096.860316523103</v>
      </c>
      <c r="M62" s="21"/>
      <c r="N62" s="15"/>
    </row>
    <row r="63" spans="2:14" hidden="1" outlineLevel="1">
      <c r="B63" s="437" t="str">
        <f>$B$31</f>
        <v>Pharma (India)</v>
      </c>
      <c r="C63" s="438">
        <f>_xlfn.XLOOKUP(C$5, Ingredients!$BG$5:$BP$5, Ingredients!$BG$52:$BP$52, 0)  +  _xlfn.XLOOKUP(C$5, Ingredients!BR$5:CA$5, Ingredients!$BR$52:$CA$52, 0)</f>
        <v>11125.35</v>
      </c>
      <c r="D63" s="438">
        <f>_xlfn.XLOOKUP(D$5, Ingredients!$BG$5:$BP$5, Ingredients!$BG$52:$BP$52, 0)  +  _xlfn.XLOOKUP(D$5, Ingredients!BS$5:CB$5, Ingredients!$BR$52:$CA$52, 0)</f>
        <v>11289.387000000001</v>
      </c>
      <c r="E63" s="438">
        <f>_xlfn.XLOOKUP(E$5, Ingredients!$BG$5:$BP$5, Ingredients!$BG$52:$BP$52, 0)  +  _xlfn.XLOOKUP(E$5, Ingredients!BT$5:CC$5, Ingredients!$BR$52:$CA$52, 0)</f>
        <v>11457.174990000001</v>
      </c>
      <c r="F63" s="438">
        <f>_xlfn.XLOOKUP(F$5, Ingredients!$BG$5:$BP$5, Ingredients!$BG$52:$BP$52, 0)  +  _xlfn.XLOOKUP(F$5, Ingredients!BU$5:CD$5, Ingredients!$BR$52:$CA$52, 0)</f>
        <v>11628.803097300002</v>
      </c>
      <c r="G63" s="438">
        <f>_xlfn.XLOOKUP(G$5, Ingredients!$BG$5:$BP$5, Ingredients!$BG$52:$BP$52, 0)  +  _xlfn.XLOOKUP(G$5, Ingredients!BV$5:CE$5, Ingredients!$BR$52:$CA$52, 0)</f>
        <v>11804.362654971002</v>
      </c>
      <c r="H63" s="438">
        <f>_xlfn.XLOOKUP(H$5, Ingredients!$BG$5:$BP$5, Ingredients!$BG$52:$BP$52, 0)  +  _xlfn.XLOOKUP(H$5, Ingredients!BW$5:CF$5, Ingredients!$BR$52:$CA$52, 0)</f>
        <v>11983.947258667171</v>
      </c>
      <c r="I63" s="438">
        <f>_xlfn.XLOOKUP(I$5, Ingredients!$BG$5:$BP$5, Ingredients!$BG$52:$BP$52, 0)  +  _xlfn.XLOOKUP(I$5, Ingredients!BX$5:CG$5, Ingredients!$BR$52:$CA$52, 0)</f>
        <v>12232.248176427187</v>
      </c>
      <c r="J63" s="438">
        <f>_xlfn.XLOOKUP(J$5, Ingredients!$BG$5:$BP$5, Ingredients!$BG$52:$BP$52, 0)  +  _xlfn.XLOOKUP(J$5, Ingredients!BY$5:CH$5, Ingredients!$BR$52:$CA$52, 0)</f>
        <v>12487.998121720002</v>
      </c>
      <c r="K63" s="438">
        <f>_xlfn.XLOOKUP(K$5, Ingredients!$BG$5:$BP$5, Ingredients!$BG$52:$BP$52, 0)  +  _xlfn.XLOOKUP(K$5, Ingredients!BZ$5:CI$5, Ingredients!$BR$52:$CA$52, 0)</f>
        <v>12751.420565371602</v>
      </c>
      <c r="M63" s="21"/>
      <c r="N63" s="15"/>
    </row>
    <row r="64" spans="2:14" hidden="1" outlineLevel="1">
      <c r="B64" s="437" t="str">
        <f>$B$32</f>
        <v>Gelatin</v>
      </c>
      <c r="C64" s="438">
        <f>_xlfn.XLOOKUP(C$5, Ingredients!$CC$5:$CL$5, Ingredients!$CC$52:$CL$52, 0)</f>
        <v>20953</v>
      </c>
      <c r="D64" s="438">
        <f>_xlfn.XLOOKUP(D$5, Ingredients!$CC$5:$CL$5, Ingredients!$CC$52:$CL$52, 0)</f>
        <v>25539.39</v>
      </c>
      <c r="E64" s="438">
        <f>_xlfn.XLOOKUP(E$5, Ingredients!$CC$5:$CL$5, Ingredients!$CC$52:$CL$52, 0)</f>
        <v>27879.6967</v>
      </c>
      <c r="F64" s="438">
        <f>_xlfn.XLOOKUP(F$5, Ingredients!$CC$5:$CL$5, Ingredients!$CC$52:$CL$52, 0)</f>
        <v>30447.625101000001</v>
      </c>
      <c r="G64" s="438">
        <f>_xlfn.XLOOKUP(G$5, Ingredients!$CC$5:$CL$5, Ingredients!$CC$52:$CL$52, 0)</f>
        <v>33265.74510403</v>
      </c>
      <c r="H64" s="438">
        <f>_xlfn.XLOOKUP(H$5, Ingredients!$CC$5:$CL$5, Ingredients!$CC$52:$CL$52, 0)</f>
        <v>34862.334707150905</v>
      </c>
      <c r="I64" s="438">
        <f>_xlfn.XLOOKUP(I$5, Ingredients!$CC$5:$CL$5, Ingredients!$CC$52:$CL$52, 0)</f>
        <v>36536.752860865432</v>
      </c>
      <c r="J64" s="438">
        <f>_xlfn.XLOOKUP(J$5, Ingredients!$CC$5:$CL$5, Ingredients!$CC$52:$CL$52, 0)</f>
        <v>36026.116263253884</v>
      </c>
      <c r="K64" s="438">
        <f>_xlfn.XLOOKUP(K$5, Ingredients!$CC$5:$CL$5, Ingredients!$CC$52:$CL$52, 0)</f>
        <v>36135.439751151505</v>
      </c>
      <c r="M64" s="21"/>
      <c r="N64" s="15"/>
    </row>
    <row r="65" spans="2:14" hidden="1" outlineLevel="1">
      <c r="B65" s="437" t="str">
        <f>$B$33</f>
        <v>DCP</v>
      </c>
      <c r="C65" s="438">
        <f>_xlfn.XLOOKUP(C$5, Ingredients!$CN$5:$CW$5, Ingredients!$CN$52:$CW$52, 0)</f>
        <v>3369.6000000000004</v>
      </c>
      <c r="D65" s="438">
        <f>_xlfn.XLOOKUP(D$5, Ingredients!$CN$5:$CW$5, Ingredients!$CN$52:$CW$52, 0)</f>
        <v>4212</v>
      </c>
      <c r="E65" s="438">
        <f>_xlfn.XLOOKUP(E$5, Ingredients!$CN$5:$CW$5, Ingredients!$CN$52:$CW$52, 0)</f>
        <v>4633.2000000000007</v>
      </c>
      <c r="F65" s="438">
        <f>_xlfn.XLOOKUP(F$5, Ingredients!$CN$5:$CW$5, Ingredients!$CN$52:$CW$52, 0)</f>
        <v>5096.5200000000004</v>
      </c>
      <c r="G65" s="438">
        <f>_xlfn.XLOOKUP(G$5, Ingredients!$CN$5:$CW$5, Ingredients!$CN$52:$CW$52, 0)</f>
        <v>5606.1720000000014</v>
      </c>
      <c r="H65" s="438">
        <f>_xlfn.XLOOKUP(H$5, Ingredients!$CN$5:$CW$5, Ingredients!$CN$52:$CW$52, 0)</f>
        <v>5886.4806000000008</v>
      </c>
      <c r="I65" s="438">
        <f>_xlfn.XLOOKUP(I$5, Ingredients!$CN$5:$CW$5, Ingredients!$CN$52:$CW$52, 0)</f>
        <v>6180.8046300000015</v>
      </c>
      <c r="J65" s="438">
        <f>_xlfn.XLOOKUP(J$5, Ingredients!$CN$5:$CW$5, Ingredients!$CN$52:$CW$52, 0)</f>
        <v>6210</v>
      </c>
      <c r="K65" s="438">
        <f>_xlfn.XLOOKUP(K$5, Ingredients!$CN$5:$CW$5, Ingredients!$CN$52:$CW$52, 0)</f>
        <v>6210</v>
      </c>
      <c r="M65" s="21"/>
      <c r="N65" s="15"/>
    </row>
    <row r="66" spans="2:14" collapsed="1">
      <c r="B66" s="19" t="str">
        <f>$B$34</f>
        <v>TUC Global</v>
      </c>
      <c r="C66" s="20">
        <f>SUM(C67:C69)</f>
        <v>10366.000000000005</v>
      </c>
      <c r="D66" s="20">
        <f t="shared" ref="D66" si="24">SUM(D67:D69)</f>
        <v>3322.11</v>
      </c>
      <c r="E66" s="20">
        <f t="shared" ref="E66" si="25">SUM(E67:E69)</f>
        <v>1022.6401440000001</v>
      </c>
      <c r="F66" s="20">
        <f t="shared" ref="F66" si="26">SUM(F67:F69)</f>
        <v>0</v>
      </c>
      <c r="G66" s="20">
        <f t="shared" ref="G66" si="27">SUM(G67:G69)</f>
        <v>0</v>
      </c>
      <c r="H66" s="20">
        <f t="shared" ref="H66" si="28">SUM(H67:H69)</f>
        <v>0</v>
      </c>
      <c r="I66" s="20">
        <f t="shared" ref="I66" si="29">SUM(I67:I69)</f>
        <v>0</v>
      </c>
      <c r="J66" s="20">
        <f t="shared" ref="J66" si="30">SUM(J67:J69)</f>
        <v>0</v>
      </c>
      <c r="K66" s="20">
        <f t="shared" ref="K66" si="31">SUM(K67:K69)</f>
        <v>0</v>
      </c>
      <c r="M66" s="21"/>
      <c r="N66" s="15"/>
    </row>
    <row r="67" spans="2:14" hidden="1" outlineLevel="1">
      <c r="B67" s="437" t="str">
        <f>$B$35</f>
        <v>TUC</v>
      </c>
      <c r="C67" s="438">
        <f>_xlfn.XLOOKUP(C$5, 'TUC  North America'!$D$3:$L$3, 'TUC  North America'!$D$41:$L$41, 0)</f>
        <v>10366.000000000005</v>
      </c>
      <c r="D67" s="438">
        <f>_xlfn.XLOOKUP(D$5, 'TUC  North America'!$D$3:$L$3, 'TUC  North America'!$D$41:$L$41, 0)</f>
        <v>3322.11</v>
      </c>
      <c r="E67" s="438">
        <f>_xlfn.XLOOKUP(E$5, 'TUC  North America'!$D$3:$L$3, 'TUC  North America'!$D$41:$L$41, 0)</f>
        <v>1022.6401440000001</v>
      </c>
      <c r="F67" s="438">
        <f>_xlfn.XLOOKUP(F$5, 'TUC  North America'!$D$3:$L$3, 'TUC  North America'!$D$41:$L$41, 0)</f>
        <v>0</v>
      </c>
      <c r="G67" s="438">
        <f>_xlfn.XLOOKUP(G$5, 'TUC  North America'!$D$3:$L$3, 'TUC  North America'!$D$41:$L$41, 0)</f>
        <v>0</v>
      </c>
      <c r="H67" s="438">
        <f>_xlfn.XLOOKUP(H$5, 'TUC  North America'!$D$3:$L$3, 'TUC  North America'!$D$41:$L$41, 0)</f>
        <v>0</v>
      </c>
      <c r="I67" s="438">
        <f>_xlfn.XLOOKUP(I$5, 'TUC  North America'!$D$3:$L$3, 'TUC  North America'!$D$41:$L$41, 0)</f>
        <v>0</v>
      </c>
      <c r="J67" s="438">
        <f>_xlfn.XLOOKUP(J$5, 'TUC  North America'!$D$3:$L$3, 'TUC  North America'!$D$41:$L$41, 0)</f>
        <v>0</v>
      </c>
      <c r="K67" s="438">
        <f>_xlfn.XLOOKUP(K$5, 'TUC  North America'!$D$3:$L$3, 'TUC  North America'!$D$41:$L$41, 0)</f>
        <v>0</v>
      </c>
      <c r="M67" s="21"/>
      <c r="N67" s="15"/>
    </row>
    <row r="68" spans="2:14" hidden="1" outlineLevel="1">
      <c r="B68" s="437" t="str">
        <f>$B$36</f>
        <v>TUC International (Excl. JV)</v>
      </c>
      <c r="C68" s="438">
        <f>_xlfn.XLOOKUP(C$5, 'TUC International'!$E$3:$M$3, 'TUC International'!$E$57:$M$57, 0)</f>
        <v>0</v>
      </c>
      <c r="D68" s="438">
        <f>_xlfn.XLOOKUP(D$5, 'TUC International'!$E$3:$M$3, 'TUC International'!$E$57:$M$57, 0)</f>
        <v>0</v>
      </c>
      <c r="E68" s="438">
        <f>_xlfn.XLOOKUP(E$5, 'TUC International'!$E$3:$M$3, 'TUC International'!$E$57:$M$57, 0)</f>
        <v>0</v>
      </c>
      <c r="F68" s="438">
        <f>_xlfn.XLOOKUP(F$5, 'TUC International'!$E$3:$M$3, 'TUC International'!$E$57:$M$57, 0)</f>
        <v>0</v>
      </c>
      <c r="G68" s="438">
        <f>_xlfn.XLOOKUP(G$5, 'TUC International'!$E$3:$M$3, 'TUC International'!$E$57:$M$57, 0)</f>
        <v>0</v>
      </c>
      <c r="H68" s="438">
        <f>_xlfn.XLOOKUP(H$5, 'TUC International'!$E$3:$M$3, 'TUC International'!$E$57:$M$57, 0)</f>
        <v>0</v>
      </c>
      <c r="I68" s="438">
        <f>_xlfn.XLOOKUP(I$5, 'TUC International'!$E$3:$M$3, 'TUC International'!$E$57:$M$57, 0)</f>
        <v>0</v>
      </c>
      <c r="J68" s="438">
        <f>_xlfn.XLOOKUP(J$5, 'TUC International'!$E$3:$M$3, 'TUC International'!$E$57:$M$57, 0)</f>
        <v>0</v>
      </c>
      <c r="K68" s="438">
        <f>_xlfn.XLOOKUP(K$5, 'TUC International'!$E$3:$M$3, 'TUC International'!$E$57:$M$57, 0)</f>
        <v>0</v>
      </c>
      <c r="M68" s="21"/>
      <c r="N68" s="15"/>
    </row>
    <row r="69" spans="2:14" hidden="1" outlineLevel="1">
      <c r="B69" s="437" t="str">
        <f>$B$37</f>
        <v>TUC JV</v>
      </c>
      <c r="C69" s="438"/>
      <c r="D69" s="438"/>
      <c r="E69" s="438"/>
      <c r="F69" s="438"/>
      <c r="G69" s="438"/>
      <c r="H69" s="438"/>
      <c r="I69" s="438"/>
      <c r="J69" s="438"/>
      <c r="K69" s="438"/>
      <c r="M69" s="21"/>
      <c r="N69" s="15"/>
    </row>
    <row r="70" spans="2:14" collapsed="1">
      <c r="B70" s="19" t="str">
        <f>$B$38</f>
        <v>nth Bio</v>
      </c>
      <c r="C70" s="20">
        <f>SUM(C71:C79)</f>
        <v>2510</v>
      </c>
      <c r="D70" s="20">
        <f t="shared" ref="D70:K70" si="32">SUM(D71:D79)</f>
        <v>2780.6344827586208</v>
      </c>
      <c r="E70" s="20">
        <f t="shared" si="32"/>
        <v>4947.1426573426579</v>
      </c>
      <c r="F70" s="20">
        <f t="shared" si="32"/>
        <v>11873.097000000002</v>
      </c>
      <c r="G70" s="20">
        <f t="shared" si="32"/>
        <v>12232.755486000002</v>
      </c>
      <c r="H70" s="20">
        <f t="shared" si="32"/>
        <v>12593.783154456001</v>
      </c>
      <c r="I70" s="20">
        <f t="shared" si="32"/>
        <v>12955.068888819878</v>
      </c>
      <c r="J70" s="20">
        <f t="shared" si="32"/>
        <v>13315.362266843464</v>
      </c>
      <c r="K70" s="20">
        <f t="shared" si="32"/>
        <v>13981.130380185641</v>
      </c>
      <c r="M70" s="21"/>
      <c r="N70" s="15"/>
    </row>
    <row r="71" spans="2:14" hidden="1" outlineLevel="1">
      <c r="B71" s="437" t="str">
        <f>$B$39</f>
        <v>SLC Pilot</v>
      </c>
      <c r="C71" s="438">
        <f>_xlfn.XLOOKUP(C$5, 'Nth Bio'!$C$3:$L$3, 'Nth Bio'!$C17:$L17, 0)</f>
        <v>440.00000000000006</v>
      </c>
      <c r="D71" s="438">
        <f>_xlfn.XLOOKUP(D$5, 'Nth Bio'!$C$3:$L$3, 'Nth Bio'!$C17:$L17, 0)</f>
        <v>800</v>
      </c>
      <c r="E71" s="438">
        <f>_xlfn.XLOOKUP(E$5, 'Nth Bio'!$C$3:$L$3, 'Nth Bio'!$C17:$L17, 0)</f>
        <v>1300</v>
      </c>
      <c r="F71" s="438">
        <f>_xlfn.XLOOKUP(F$5, 'Nth Bio'!$C$3:$L$3, 'Nth Bio'!$C17:$L17, 0)</f>
        <v>1800</v>
      </c>
      <c r="G71" s="438">
        <f>_xlfn.XLOOKUP(G$5, 'Nth Bio'!$C$3:$L$3, 'Nth Bio'!$C17:$L17, 0)</f>
        <v>1890</v>
      </c>
      <c r="H71" s="438">
        <f>_xlfn.XLOOKUP(H$5, 'Nth Bio'!$C$3:$L$3, 'Nth Bio'!$C17:$L17, 0)</f>
        <v>1984.5</v>
      </c>
      <c r="I71" s="438">
        <f>_xlfn.XLOOKUP(I$5, 'Nth Bio'!$C$3:$L$3, 'Nth Bio'!$C17:$L17, 0)</f>
        <v>2083.7249999999999</v>
      </c>
      <c r="J71" s="438">
        <f>_xlfn.XLOOKUP(J$5, 'Nth Bio'!$C$3:$L$3, 'Nth Bio'!$C17:$L17, 0)</f>
        <v>2187.9112500000001</v>
      </c>
      <c r="K71" s="438">
        <f>_xlfn.XLOOKUP(K$5, 'Nth Bio'!$C$3:$L$3, 'Nth Bio'!$C17:$L17, 0)</f>
        <v>2297.3068125000004</v>
      </c>
      <c r="M71" s="21"/>
      <c r="N71" s="15"/>
    </row>
    <row r="72" spans="2:14" hidden="1" outlineLevel="1">
      <c r="B72" s="437" t="str">
        <f>$B$40</f>
        <v>SBL Pilot</v>
      </c>
      <c r="C72" s="438">
        <f>_xlfn.XLOOKUP(C$5, 'Nth Bio'!$C$3:$L$3, 'Nth Bio'!$C18:$L18, 0)</f>
        <v>0</v>
      </c>
      <c r="D72" s="438">
        <f>_xlfn.XLOOKUP(D$5, 'Nth Bio'!$C$3:$L$3, 'Nth Bio'!$C18:$L18, 0)</f>
        <v>160</v>
      </c>
      <c r="E72" s="438">
        <f>_xlfn.XLOOKUP(E$5, 'Nth Bio'!$C$3:$L$3, 'Nth Bio'!$C18:$L18, 0)</f>
        <v>560</v>
      </c>
      <c r="F72" s="438">
        <f>_xlfn.XLOOKUP(F$5, 'Nth Bio'!$C$3:$L$3, 'Nth Bio'!$C18:$L18, 0)</f>
        <v>1920</v>
      </c>
      <c r="G72" s="438">
        <f>_xlfn.XLOOKUP(G$5, 'Nth Bio'!$C$3:$L$3, 'Nth Bio'!$C18:$L18, 0)</f>
        <v>2016</v>
      </c>
      <c r="H72" s="438">
        <f>_xlfn.XLOOKUP(H$5, 'Nth Bio'!$C$3:$L$3, 'Nth Bio'!$C18:$L18, 0)</f>
        <v>2116.8000000000002</v>
      </c>
      <c r="I72" s="438">
        <f>_xlfn.XLOOKUP(I$5, 'Nth Bio'!$C$3:$L$3, 'Nth Bio'!$C18:$L18, 0)</f>
        <v>2222.6400000000003</v>
      </c>
      <c r="J72" s="438">
        <f>_xlfn.XLOOKUP(J$5, 'Nth Bio'!$C$3:$L$3, 'Nth Bio'!$C18:$L18, 0)</f>
        <v>2333.7720000000004</v>
      </c>
      <c r="K72" s="438">
        <f>_xlfn.XLOOKUP(K$5, 'Nth Bio'!$C$3:$L$3, 'Nth Bio'!$C18:$L18, 0)</f>
        <v>2450.4606000000003</v>
      </c>
      <c r="M72" s="21"/>
      <c r="N72" s="15"/>
    </row>
    <row r="73" spans="2:14" hidden="1" outlineLevel="1">
      <c r="B73" s="437" t="str">
        <f>$B$41</f>
        <v>Pharma Initiative (Sri/Bonney)</v>
      </c>
      <c r="C73" s="438">
        <f>_xlfn.XLOOKUP(C$5, 'Nth Bio Revenue &amp; COGS'!$E$3:$M$3, 'Nth Bio Revenue &amp; COGS'!$E$70:$M$70, 0)</f>
        <v>0</v>
      </c>
      <c r="D73" s="438">
        <f>_xlfn.XLOOKUP(D$5, 'Nth Bio Revenue &amp; COGS'!$E$3:$M$3, 'Nth Bio Revenue &amp; COGS'!$E$70:$M$70, 0)</f>
        <v>0</v>
      </c>
      <c r="E73" s="438">
        <f>_xlfn.XLOOKUP(E$5, 'Nth Bio Revenue &amp; COGS'!$E$3:$M$3, 'Nth Bio Revenue &amp; COGS'!$E$70:$M$70, 0)</f>
        <v>815.1600000000002</v>
      </c>
      <c r="F73" s="438">
        <f>_xlfn.XLOOKUP(F$5, 'Nth Bio Revenue &amp; COGS'!$E$3:$M$3, 'Nth Bio Revenue &amp; COGS'!$E$70:$M$70, 0)</f>
        <v>3857.3160000000016</v>
      </c>
      <c r="G73" s="438">
        <f>_xlfn.XLOOKUP(G$5, 'Nth Bio Revenue &amp; COGS'!$E$3:$M$3, 'Nth Bio Revenue &amp; COGS'!$E$70:$M$70, 0)</f>
        <v>3816.1854360000011</v>
      </c>
      <c r="H73" s="438">
        <f>_xlfn.XLOOKUP(H$5, 'Nth Bio Revenue &amp; COGS'!$E$3:$M$3, 'Nth Bio Revenue &amp; COGS'!$E$70:$M$70, 0)</f>
        <v>3756.3846019560001</v>
      </c>
      <c r="I73" s="438">
        <f>_xlfn.XLOOKUP(I$5, 'Nth Bio Revenue &amp; COGS'!$E$3:$M$3, 'Nth Bio Revenue &amp; COGS'!$E$70:$M$70, 0)</f>
        <v>3675.8004086948768</v>
      </c>
      <c r="J73" s="438">
        <f>_xlfn.XLOOKUP(J$5, 'Nth Bio Revenue &amp; COGS'!$E$3:$M$3, 'Nth Bio Revenue &amp; COGS'!$E$70:$M$70, 0)</f>
        <v>3572.1303627122134</v>
      </c>
      <c r="K73" s="438">
        <f>_xlfn.XLOOKUP(K$5, 'Nth Bio Revenue &amp; COGS'!$E$3:$M$3, 'Nth Bio Revenue &amp; COGS'!$E$70:$M$70, 0)</f>
        <v>3750.7368808478241</v>
      </c>
      <c r="M73" s="21"/>
      <c r="N73" s="15"/>
    </row>
    <row r="74" spans="2:14" hidden="1" outlineLevel="1">
      <c r="B74" s="437" t="str">
        <f>$B$42</f>
        <v>SLC Ferm Farm</v>
      </c>
      <c r="C74" s="438">
        <f>_xlfn.XLOOKUP(C$5, 'Nth Bio'!$C$3:$L$3, 'Nth Bio'!$C19:$L19, 0)</f>
        <v>224.99999999999997</v>
      </c>
      <c r="D74" s="438">
        <f>_xlfn.XLOOKUP(D$5, 'Nth Bio'!$C$3:$L$3, 'Nth Bio'!$C19:$L19, 0)</f>
        <v>726.40000000000009</v>
      </c>
      <c r="E74" s="438">
        <f>_xlfn.XLOOKUP(E$5, 'Nth Bio'!$C$3:$L$3, 'Nth Bio'!$C19:$L19, 0)</f>
        <v>829.08000000000027</v>
      </c>
      <c r="F74" s="438">
        <f>_xlfn.XLOOKUP(F$5, 'Nth Bio'!$C$3:$L$3, 'Nth Bio'!$C19:$L19, 0)</f>
        <v>1140.4260000000004</v>
      </c>
      <c r="G74" s="438">
        <f>_xlfn.XLOOKUP(G$5, 'Nth Bio'!$C$3:$L$3, 'Nth Bio'!$C19:$L19, 0)</f>
        <v>1197.4473000000005</v>
      </c>
      <c r="H74" s="438">
        <f>_xlfn.XLOOKUP(H$5, 'Nth Bio'!$C$3:$L$3, 'Nth Bio'!$C19:$L19, 0)</f>
        <v>1257.3196650000004</v>
      </c>
      <c r="I74" s="438">
        <f>_xlfn.XLOOKUP(I$5, 'Nth Bio'!$C$3:$L$3, 'Nth Bio'!$C19:$L19, 0)</f>
        <v>1320.1856482500002</v>
      </c>
      <c r="J74" s="438">
        <f>_xlfn.XLOOKUP(J$5, 'Nth Bio'!$C$3:$L$3, 'Nth Bio'!$C19:$L19, 0)</f>
        <v>1386.1949306625006</v>
      </c>
      <c r="K74" s="438">
        <f>_xlfn.XLOOKUP(K$5, 'Nth Bio'!$C$3:$L$3, 'Nth Bio'!$C19:$L19, 0)</f>
        <v>1455.5046771956256</v>
      </c>
      <c r="M74" s="21"/>
      <c r="N74" s="15"/>
    </row>
    <row r="75" spans="2:14" hidden="1" outlineLevel="1">
      <c r="B75" s="437" t="str">
        <f>$B$43</f>
        <v>India Ferm Farm</v>
      </c>
      <c r="C75" s="438">
        <f>_xlfn.XLOOKUP(C$5, 'Nth Bio'!$C$3:$L$3, 'Nth Bio'!$C20:$L20, 0)</f>
        <v>0</v>
      </c>
      <c r="D75" s="438">
        <f>_xlfn.XLOOKUP(D$5, 'Nth Bio'!$C$3:$L$3, 'Nth Bio'!$C20:$L20, 0)</f>
        <v>163.20000000000002</v>
      </c>
      <c r="E75" s="438">
        <f>_xlfn.XLOOKUP(E$5, 'Nth Bio'!$C$3:$L$3, 'Nth Bio'!$C20:$L20, 0)</f>
        <v>385.56000000000006</v>
      </c>
      <c r="F75" s="438">
        <f>_xlfn.XLOOKUP(F$5, 'Nth Bio'!$C$3:$L$3, 'Nth Bio'!$C20:$L20, 0)</f>
        <v>674.73000000000025</v>
      </c>
      <c r="G75" s="438">
        <f>_xlfn.XLOOKUP(G$5, 'Nth Bio'!$C$3:$L$3, 'Nth Bio'!$C20:$L20, 0)</f>
        <v>708.46650000000034</v>
      </c>
      <c r="H75" s="438">
        <f>_xlfn.XLOOKUP(H$5, 'Nth Bio'!$C$3:$L$3, 'Nth Bio'!$C20:$L20, 0)</f>
        <v>743.88982500000031</v>
      </c>
      <c r="I75" s="438">
        <f>_xlfn.XLOOKUP(I$5, 'Nth Bio'!$C$3:$L$3, 'Nth Bio'!$C20:$L20, 0)</f>
        <v>781.08431625000037</v>
      </c>
      <c r="J75" s="438">
        <f>_xlfn.XLOOKUP(J$5, 'Nth Bio'!$C$3:$L$3, 'Nth Bio'!$C20:$L20, 0)</f>
        <v>820.1385320625003</v>
      </c>
      <c r="K75" s="438">
        <f>_xlfn.XLOOKUP(K$5, 'Nth Bio'!$C$3:$L$3, 'Nth Bio'!$C20:$L20, 0)</f>
        <v>861.14545866562548</v>
      </c>
      <c r="M75" s="21"/>
      <c r="N75" s="15"/>
    </row>
    <row r="76" spans="2:14" hidden="1" outlineLevel="1">
      <c r="B76" s="437" t="str">
        <f>$B$44</f>
        <v>S2S/uHTS</v>
      </c>
      <c r="C76" s="438">
        <f>_xlfn.XLOOKUP(C$5, 'Nth Bio'!$C$3:$L$3, 'Nth Bio'!$C21:$L21, 0)</f>
        <v>1844.9999999999998</v>
      </c>
      <c r="D76" s="438">
        <f>_xlfn.XLOOKUP(D$5, 'Nth Bio'!$C$3:$L$3, 'Nth Bio'!$C21:$L21, 0)</f>
        <v>931.03448275862058</v>
      </c>
      <c r="E76" s="438">
        <f>_xlfn.XLOOKUP(E$5, 'Nth Bio'!$C$3:$L$3, 'Nth Bio'!$C21:$L21, 0)</f>
        <v>1057.3426573426573</v>
      </c>
      <c r="F76" s="438">
        <f>_xlfn.XLOOKUP(F$5, 'Nth Bio'!$C$3:$L$3, 'Nth Bio'!$C21:$L21, 0)</f>
        <v>2480.6250000000005</v>
      </c>
      <c r="G76" s="438">
        <f>_xlfn.XLOOKUP(G$5, 'Nth Bio'!$C$3:$L$3, 'Nth Bio'!$C21:$L21, 0)</f>
        <v>2604.6562500000005</v>
      </c>
      <c r="H76" s="438">
        <f>_xlfn.XLOOKUP(H$5, 'Nth Bio'!$C$3:$L$3, 'Nth Bio'!$C21:$L21, 0)</f>
        <v>2734.8890625000004</v>
      </c>
      <c r="I76" s="438">
        <f>_xlfn.XLOOKUP(I$5, 'Nth Bio'!$C$3:$L$3, 'Nth Bio'!$C21:$L21, 0)</f>
        <v>2871.6335156250007</v>
      </c>
      <c r="J76" s="438">
        <f>_xlfn.XLOOKUP(J$5, 'Nth Bio'!$C$3:$L$3, 'Nth Bio'!$C21:$L21, 0)</f>
        <v>3015.2151914062511</v>
      </c>
      <c r="K76" s="438">
        <f>_xlfn.XLOOKUP(K$5, 'Nth Bio'!$C$3:$L$3, 'Nth Bio'!$C21:$L21, 0)</f>
        <v>3165.975950976564</v>
      </c>
      <c r="M76" s="21"/>
      <c r="N76" s="15"/>
    </row>
    <row r="77" spans="2:14" hidden="1" outlineLevel="1">
      <c r="B77" s="437" t="str">
        <f>$B$45</f>
        <v>License</v>
      </c>
      <c r="C77" s="438">
        <f>_xlfn.XLOOKUP(C$5, 'Nth Bio'!$C$3:$L$3, 'Nth Bio'!$C22:$L22, 0)</f>
        <v>0</v>
      </c>
      <c r="D77" s="438">
        <f>_xlfn.XLOOKUP(D$5, 'Nth Bio'!$C$3:$L$3, 'Nth Bio'!$C22:$L22, 0)</f>
        <v>0</v>
      </c>
      <c r="E77" s="438">
        <f>_xlfn.XLOOKUP(E$5, 'Nth Bio'!$C$3:$L$3, 'Nth Bio'!$C22:$L22, 0)</f>
        <v>0</v>
      </c>
      <c r="F77" s="438">
        <f>_xlfn.XLOOKUP(F$5, 'Nth Bio'!$C$3:$L$3, 'Nth Bio'!$C22:$L22, 0)</f>
        <v>0</v>
      </c>
      <c r="G77" s="438">
        <f>_xlfn.XLOOKUP(G$5, 'Nth Bio'!$C$3:$L$3, 'Nth Bio'!$C22:$L22, 0)</f>
        <v>0</v>
      </c>
      <c r="H77" s="438">
        <f>_xlfn.XLOOKUP(H$5, 'Nth Bio'!$C$3:$L$3, 'Nth Bio'!$C22:$L22, 0)</f>
        <v>0</v>
      </c>
      <c r="I77" s="438">
        <f>_xlfn.XLOOKUP(I$5, 'Nth Bio'!$C$3:$L$3, 'Nth Bio'!$C22:$L22, 0)</f>
        <v>0</v>
      </c>
      <c r="J77" s="438">
        <f>_xlfn.XLOOKUP(J$5, 'Nth Bio'!$C$3:$L$3, 'Nth Bio'!$C22:$L22, 0)</f>
        <v>0</v>
      </c>
      <c r="K77" s="438">
        <f>_xlfn.XLOOKUP(K$5, 'Nth Bio'!$C$3:$L$3, 'Nth Bio'!$C22:$L22, 0)</f>
        <v>0</v>
      </c>
      <c r="M77" s="21"/>
      <c r="N77" s="15"/>
    </row>
    <row r="78" spans="2:14" hidden="1" outlineLevel="1">
      <c r="B78" s="437" t="str">
        <f>$B$46</f>
        <v>Milestone</v>
      </c>
      <c r="C78" s="438">
        <f>_xlfn.XLOOKUP(C$5, 'Nth Bio'!$C$3:$L$3, 'Nth Bio'!$C23:$L23, 0)</f>
        <v>0</v>
      </c>
      <c r="D78" s="438">
        <f>_xlfn.XLOOKUP(D$5, 'Nth Bio'!$C$3:$L$3, 'Nth Bio'!$C23:$L23, 0)</f>
        <v>0</v>
      </c>
      <c r="E78" s="438">
        <f>_xlfn.XLOOKUP(E$5, 'Nth Bio'!$C$3:$L$3, 'Nth Bio'!$C23:$L23, 0)</f>
        <v>0</v>
      </c>
      <c r="F78" s="438">
        <f>_xlfn.XLOOKUP(F$5, 'Nth Bio'!$C$3:$L$3, 'Nth Bio'!$C23:$L23, 0)</f>
        <v>0</v>
      </c>
      <c r="G78" s="438">
        <f>_xlfn.XLOOKUP(G$5, 'Nth Bio'!$C$3:$L$3, 'Nth Bio'!$C23:$L23, 0)</f>
        <v>0</v>
      </c>
      <c r="H78" s="438">
        <f>_xlfn.XLOOKUP(H$5, 'Nth Bio'!$C$3:$L$3, 'Nth Bio'!$C23:$L23, 0)</f>
        <v>0</v>
      </c>
      <c r="I78" s="438">
        <f>_xlfn.XLOOKUP(I$5, 'Nth Bio'!$C$3:$L$3, 'Nth Bio'!$C23:$L23, 0)</f>
        <v>0</v>
      </c>
      <c r="J78" s="438">
        <f>_xlfn.XLOOKUP(J$5, 'Nth Bio'!$C$3:$L$3, 'Nth Bio'!$C23:$L23, 0)</f>
        <v>0</v>
      </c>
      <c r="K78" s="438">
        <f>_xlfn.XLOOKUP(K$5, 'Nth Bio'!$C$3:$L$3, 'Nth Bio'!$C23:$L23, 0)</f>
        <v>0</v>
      </c>
      <c r="M78" s="21"/>
      <c r="N78" s="15"/>
    </row>
    <row r="79" spans="2:14" hidden="1" outlineLevel="1">
      <c r="B79" s="437" t="str">
        <f>$B$47</f>
        <v>Licensing</v>
      </c>
      <c r="C79" s="438">
        <f>_xlfn.XLOOKUP(C$5, 'Nth Bio'!$C$3:$L$3, 'Nth Bio'!$C24:$L24, 0)</f>
        <v>0</v>
      </c>
      <c r="D79" s="438">
        <f>_xlfn.XLOOKUP(D$5, 'Nth Bio'!$C$3:$L$3, 'Nth Bio'!$C24:$L24, 0)</f>
        <v>0</v>
      </c>
      <c r="E79" s="438">
        <f>_xlfn.XLOOKUP(E$5, 'Nth Bio'!$C$3:$L$3, 'Nth Bio'!$C24:$L24, 0)</f>
        <v>0</v>
      </c>
      <c r="F79" s="438">
        <f>_xlfn.XLOOKUP(F$5, 'Nth Bio'!$C$3:$L$3, 'Nth Bio'!$C24:$L24, 0)</f>
        <v>0</v>
      </c>
      <c r="G79" s="438">
        <f>_xlfn.XLOOKUP(G$5, 'Nth Bio'!$C$3:$L$3, 'Nth Bio'!$C24:$L24, 0)</f>
        <v>0</v>
      </c>
      <c r="H79" s="438">
        <f>_xlfn.XLOOKUP(H$5, 'Nth Bio'!$C$3:$L$3, 'Nth Bio'!$C24:$L24, 0)</f>
        <v>0</v>
      </c>
      <c r="I79" s="438">
        <f>_xlfn.XLOOKUP(I$5, 'Nth Bio'!$C$3:$L$3, 'Nth Bio'!$C24:$L24, 0)</f>
        <v>0</v>
      </c>
      <c r="J79" s="438">
        <f>_xlfn.XLOOKUP(J$5, 'Nth Bio'!$C$3:$L$3, 'Nth Bio'!$C24:$L24, 0)</f>
        <v>0</v>
      </c>
      <c r="K79" s="438">
        <f>_xlfn.XLOOKUP(K$5, 'Nth Bio'!$C$3:$L$3, 'Nth Bio'!$C24:$L24, 0)</f>
        <v>0</v>
      </c>
      <c r="M79" s="21"/>
      <c r="N79" s="15"/>
    </row>
    <row r="80" spans="2:14" ht="15" customHeight="1" collapsed="1" thickBot="1">
      <c r="B80" s="23" t="str">
        <f>$B$48</f>
        <v>Total</v>
      </c>
      <c r="C80" s="24">
        <f>C56+C62+C66+C70</f>
        <v>96569.666228958173</v>
      </c>
      <c r="D80" s="24">
        <f t="shared" ref="D80:K80" si="33">D56+D62+D66+D70</f>
        <v>108721.34796834113</v>
      </c>
      <c r="E80" s="24">
        <f t="shared" si="33"/>
        <v>129792.74680149007</v>
      </c>
      <c r="F80" s="24">
        <f t="shared" si="33"/>
        <v>228500.6603930608</v>
      </c>
      <c r="G80" s="24">
        <f t="shared" si="33"/>
        <v>326182.02823493624</v>
      </c>
      <c r="H80" s="24">
        <f t="shared" si="33"/>
        <v>371130.42791857425</v>
      </c>
      <c r="I80" s="24">
        <f t="shared" si="33"/>
        <v>394564.92670170433</v>
      </c>
      <c r="J80" s="24">
        <f t="shared" si="33"/>
        <v>407560.7440044948</v>
      </c>
      <c r="K80" s="24">
        <f t="shared" si="33"/>
        <v>410432.86841043318</v>
      </c>
      <c r="M80" s="21"/>
      <c r="N80" s="15"/>
    </row>
    <row r="81" spans="2:14" ht="3.75" customHeight="1">
      <c r="C81" s="14"/>
      <c r="D81" s="14"/>
      <c r="E81" s="14"/>
      <c r="F81" s="14"/>
      <c r="G81" s="14"/>
      <c r="H81" s="14"/>
      <c r="I81" s="14"/>
      <c r="J81" s="14"/>
      <c r="K81" s="14"/>
      <c r="M81" s="21"/>
      <c r="N81" s="15"/>
    </row>
    <row r="82" spans="2:14" s="15" customFormat="1">
      <c r="B82" s="433" t="s">
        <v>78</v>
      </c>
      <c r="C82" s="434"/>
      <c r="D82" s="434"/>
      <c r="E82" s="434"/>
      <c r="F82" s="434"/>
      <c r="G82" s="434"/>
      <c r="H82" s="434"/>
      <c r="I82" s="434"/>
      <c r="J82" s="434"/>
      <c r="K82" s="434"/>
      <c r="M82" s="21"/>
    </row>
    <row r="83" spans="2:14">
      <c r="B83" s="19" t="str">
        <f>$B$24</f>
        <v>B2B Global</v>
      </c>
      <c r="C83" s="293">
        <f>C24-C56</f>
        <v>-38872.852393341738</v>
      </c>
      <c r="D83" s="293">
        <f t="shared" ref="D83:K83" si="34">D24-D56</f>
        <v>-40813.223745856485</v>
      </c>
      <c r="E83" s="293">
        <f t="shared" si="34"/>
        <v>-17427.19239268166</v>
      </c>
      <c r="F83" s="20">
        <f t="shared" si="34"/>
        <v>49508.84035581458</v>
      </c>
      <c r="G83" s="20">
        <f t="shared" si="34"/>
        <v>172646.56123395689</v>
      </c>
      <c r="H83" s="20">
        <f t="shared" si="34"/>
        <v>181649.54616827512</v>
      </c>
      <c r="I83" s="20">
        <f t="shared" si="34"/>
        <v>197116.80087851774</v>
      </c>
      <c r="J83" s="20">
        <f t="shared" si="34"/>
        <v>199872.0240275964</v>
      </c>
      <c r="K83" s="20">
        <f t="shared" si="34"/>
        <v>201072.66024189198</v>
      </c>
      <c r="M83" s="21"/>
      <c r="N83" s="15"/>
    </row>
    <row r="84" spans="2:14" hidden="1" outlineLevel="1">
      <c r="B84" s="437" t="str">
        <f>$B$25</f>
        <v>LGB Grade A</v>
      </c>
      <c r="C84" s="438">
        <f t="shared" ref="C84:K84" si="35">C25-C57</f>
        <v>-38872.852393341738</v>
      </c>
      <c r="D84" s="438">
        <f t="shared" si="35"/>
        <v>-40813.223745856485</v>
      </c>
      <c r="E84" s="438">
        <f t="shared" si="35"/>
        <v>-29736.847384693589</v>
      </c>
      <c r="F84" s="438">
        <f t="shared" si="35"/>
        <v>-17373.846057541436</v>
      </c>
      <c r="G84" s="438">
        <f t="shared" si="35"/>
        <v>14520.522060946168</v>
      </c>
      <c r="H84" s="438">
        <f t="shared" si="35"/>
        <v>10983.428708557381</v>
      </c>
      <c r="I84" s="438">
        <f t="shared" si="35"/>
        <v>11416.264243354977</v>
      </c>
      <c r="J84" s="438">
        <f t="shared" si="35"/>
        <v>11717.835280331681</v>
      </c>
      <c r="K84" s="438">
        <f t="shared" si="35"/>
        <v>11659.464071147391</v>
      </c>
      <c r="M84" s="21"/>
      <c r="N84" s="15"/>
    </row>
    <row r="85" spans="2:14" hidden="1" outlineLevel="1">
      <c r="B85" s="437" t="str">
        <f>$B$26</f>
        <v>LGB Grade B</v>
      </c>
      <c r="C85" s="438">
        <f t="shared" ref="C85:K85" si="36">C26-C58</f>
        <v>0</v>
      </c>
      <c r="D85" s="438">
        <f t="shared" si="36"/>
        <v>0</v>
      </c>
      <c r="E85" s="438">
        <f t="shared" si="36"/>
        <v>9227.2222940941028</v>
      </c>
      <c r="F85" s="438">
        <f t="shared" si="36"/>
        <v>49479.054295302252</v>
      </c>
      <c r="G85" s="438">
        <f t="shared" si="36"/>
        <v>108041.69239964752</v>
      </c>
      <c r="H85" s="438">
        <f t="shared" si="36"/>
        <v>106982.29897533797</v>
      </c>
      <c r="I85" s="438">
        <f t="shared" si="36"/>
        <v>109294.35300205398</v>
      </c>
      <c r="J85" s="438">
        <f t="shared" si="36"/>
        <v>111120.5999662047</v>
      </c>
      <c r="K85" s="438">
        <f t="shared" si="36"/>
        <v>112770.99167382924</v>
      </c>
      <c r="M85" s="21"/>
      <c r="N85" s="15"/>
    </row>
    <row r="86" spans="2:14" hidden="1" outlineLevel="1">
      <c r="B86" s="437" t="str">
        <f>$B$27</f>
        <v>Biomass</v>
      </c>
      <c r="C86" s="438">
        <f t="shared" ref="C86:K86" si="37">C27-C59</f>
        <v>0</v>
      </c>
      <c r="D86" s="438">
        <f t="shared" si="37"/>
        <v>0</v>
      </c>
      <c r="E86" s="438">
        <f t="shared" si="37"/>
        <v>3082.4326979178081</v>
      </c>
      <c r="F86" s="438">
        <f t="shared" si="37"/>
        <v>17046.919789286603</v>
      </c>
      <c r="G86" s="438">
        <f t="shared" si="37"/>
        <v>34998.218786530371</v>
      </c>
      <c r="H86" s="438">
        <f t="shared" si="37"/>
        <v>38597.679656194618</v>
      </c>
      <c r="I86" s="438">
        <f t="shared" si="37"/>
        <v>38674.589932799994</v>
      </c>
      <c r="J86" s="438">
        <f t="shared" si="37"/>
        <v>38674.589932799994</v>
      </c>
      <c r="K86" s="438">
        <f t="shared" si="37"/>
        <v>38674.589932799994</v>
      </c>
      <c r="M86" s="21"/>
      <c r="N86" s="15"/>
    </row>
    <row r="87" spans="2:14" hidden="1" outlineLevel="1">
      <c r="B87" s="437" t="str">
        <f>$B$28</f>
        <v>Brazzein</v>
      </c>
      <c r="C87" s="438">
        <f t="shared" ref="C87:K87" si="38">C28-C60</f>
        <v>0</v>
      </c>
      <c r="D87" s="438">
        <f t="shared" si="38"/>
        <v>0</v>
      </c>
      <c r="E87" s="438">
        <f t="shared" si="38"/>
        <v>0</v>
      </c>
      <c r="F87" s="438">
        <f t="shared" si="38"/>
        <v>356.71232876712315</v>
      </c>
      <c r="G87" s="438">
        <f t="shared" si="38"/>
        <v>5766.4278077763547</v>
      </c>
      <c r="H87" s="438">
        <f t="shared" si="38"/>
        <v>6023.6577148152819</v>
      </c>
      <c r="I87" s="438">
        <f t="shared" si="38"/>
        <v>8309.6193568995004</v>
      </c>
      <c r="J87" s="438">
        <f t="shared" si="38"/>
        <v>4596.7369877659276</v>
      </c>
      <c r="K87" s="438">
        <f t="shared" si="38"/>
        <v>1395.7201702936018</v>
      </c>
      <c r="M87" s="21"/>
      <c r="N87" s="15"/>
    </row>
    <row r="88" spans="2:14" hidden="1" outlineLevel="1">
      <c r="B88" s="437" t="str">
        <f>$B$29</f>
        <v>LAA</v>
      </c>
      <c r="C88" s="438">
        <f t="shared" ref="C88:K88" si="39">C29-C61</f>
        <v>0</v>
      </c>
      <c r="D88" s="438">
        <f t="shared" si="39"/>
        <v>0</v>
      </c>
      <c r="E88" s="438">
        <f t="shared" si="39"/>
        <v>0</v>
      </c>
      <c r="F88" s="438">
        <f t="shared" si="39"/>
        <v>0</v>
      </c>
      <c r="G88" s="438">
        <f t="shared" si="39"/>
        <v>9319.7001790564791</v>
      </c>
      <c r="H88" s="438">
        <f t="shared" si="39"/>
        <v>19062.481113369824</v>
      </c>
      <c r="I88" s="438">
        <f t="shared" si="39"/>
        <v>29421.974343409282</v>
      </c>
      <c r="J88" s="438">
        <f t="shared" si="39"/>
        <v>33762.261860494153</v>
      </c>
      <c r="K88" s="438">
        <f t="shared" si="39"/>
        <v>36571.894393821785</v>
      </c>
      <c r="M88" s="21"/>
      <c r="N88" s="15"/>
    </row>
    <row r="89" spans="2:14" collapsed="1">
      <c r="B89" s="19" t="str">
        <f>$B$30</f>
        <v>SBL (Excl. LGB)</v>
      </c>
      <c r="C89" s="20">
        <f t="shared" ref="C89:K89" si="40">C30-C62</f>
        <v>9610.8500000000058</v>
      </c>
      <c r="D89" s="20">
        <f t="shared" si="40"/>
        <v>12455.562999999995</v>
      </c>
      <c r="E89" s="20">
        <f t="shared" si="40"/>
        <v>13872.875110000001</v>
      </c>
      <c r="F89" s="20">
        <f t="shared" si="40"/>
        <v>15431.205537700007</v>
      </c>
      <c r="G89" s="20">
        <f t="shared" si="40"/>
        <v>17144.739851719016</v>
      </c>
      <c r="H89" s="20">
        <f t="shared" si="40"/>
        <v>18080.150342116336</v>
      </c>
      <c r="I89" s="20">
        <f t="shared" si="40"/>
        <v>19132.325661379829</v>
      </c>
      <c r="J89" s="20">
        <f t="shared" si="40"/>
        <v>18873.742747046228</v>
      </c>
      <c r="K89" s="20">
        <f t="shared" si="40"/>
        <v>18932.932529457597</v>
      </c>
      <c r="M89" s="21"/>
      <c r="N89" s="15"/>
    </row>
    <row r="90" spans="2:14" hidden="1" outlineLevel="1">
      <c r="B90" s="437" t="str">
        <f>$B$31</f>
        <v>Pharma (India)</v>
      </c>
      <c r="C90" s="438">
        <f t="shared" ref="C90:K90" si="41">C31-C63</f>
        <v>1166.6499999999996</v>
      </c>
      <c r="D90" s="438">
        <f t="shared" si="41"/>
        <v>1248.4529999999995</v>
      </c>
      <c r="E90" s="438">
        <f t="shared" si="41"/>
        <v>1331.421809999998</v>
      </c>
      <c r="F90" s="438">
        <f t="shared" si="41"/>
        <v>1415.5656386999981</v>
      </c>
      <c r="G90" s="438">
        <f t="shared" si="41"/>
        <v>1500.8934557489974</v>
      </c>
      <c r="H90" s="438">
        <f t="shared" si="41"/>
        <v>1587.4139742672287</v>
      </c>
      <c r="I90" s="438">
        <f t="shared" si="41"/>
        <v>1746.2538934952463</v>
      </c>
      <c r="J90" s="438">
        <f t="shared" si="41"/>
        <v>1909.8590103001043</v>
      </c>
      <c r="K90" s="438">
        <f t="shared" si="41"/>
        <v>2078.3722806091064</v>
      </c>
      <c r="M90" s="21"/>
      <c r="N90" s="15"/>
    </row>
    <row r="91" spans="2:14" hidden="1" outlineLevel="1">
      <c r="B91" s="437" t="str">
        <f>$B$32</f>
        <v>Gelatin</v>
      </c>
      <c r="C91" s="438">
        <f t="shared" ref="C91:K91" si="42">C32-C64</f>
        <v>6697</v>
      </c>
      <c r="D91" s="438">
        <f t="shared" si="42"/>
        <v>9023.11</v>
      </c>
      <c r="E91" s="438">
        <f t="shared" si="42"/>
        <v>10139.0533</v>
      </c>
      <c r="F91" s="438">
        <f t="shared" si="42"/>
        <v>11372.999898999999</v>
      </c>
      <c r="G91" s="438">
        <f t="shared" si="42"/>
        <v>12736.942395970007</v>
      </c>
      <c r="H91" s="438">
        <f t="shared" si="42"/>
        <v>13440.487167849104</v>
      </c>
      <c r="I91" s="438">
        <f t="shared" si="42"/>
        <v>14181.210107884581</v>
      </c>
      <c r="J91" s="438">
        <f t="shared" si="42"/>
        <v>13743.883736746116</v>
      </c>
      <c r="K91" s="438">
        <f t="shared" si="42"/>
        <v>13634.560248848495</v>
      </c>
      <c r="M91" s="21"/>
      <c r="N91" s="15"/>
    </row>
    <row r="92" spans="2:14" hidden="1" outlineLevel="1">
      <c r="B92" s="437" t="str">
        <f>$B$33</f>
        <v>DCP</v>
      </c>
      <c r="C92" s="438">
        <f t="shared" ref="C92:K92" si="43">C33-C65</f>
        <v>1747.1999999999989</v>
      </c>
      <c r="D92" s="438">
        <f t="shared" si="43"/>
        <v>2184</v>
      </c>
      <c r="E92" s="438">
        <f t="shared" si="43"/>
        <v>2402.3999999999987</v>
      </c>
      <c r="F92" s="438">
        <f t="shared" si="43"/>
        <v>2642.6399999999994</v>
      </c>
      <c r="G92" s="438">
        <f t="shared" si="43"/>
        <v>2906.9039999999995</v>
      </c>
      <c r="H92" s="438">
        <f t="shared" si="43"/>
        <v>3052.2492000000002</v>
      </c>
      <c r="I92" s="438">
        <f t="shared" si="43"/>
        <v>3204.8616599999996</v>
      </c>
      <c r="J92" s="438">
        <f t="shared" si="43"/>
        <v>3220</v>
      </c>
      <c r="K92" s="438">
        <f t="shared" si="43"/>
        <v>3220</v>
      </c>
      <c r="M92" s="21"/>
      <c r="N92" s="15"/>
    </row>
    <row r="93" spans="2:14" collapsed="1">
      <c r="B93" s="19" t="str">
        <f>$B$34</f>
        <v>TUC Global</v>
      </c>
      <c r="C93" s="20">
        <f t="shared" ref="C93:K93" si="44">C34-C66</f>
        <v>401.99999999999454</v>
      </c>
      <c r="D93" s="20">
        <f t="shared" si="44"/>
        <v>556.08999999999969</v>
      </c>
      <c r="E93" s="20">
        <f t="shared" si="44"/>
        <v>666.72365600000001</v>
      </c>
      <c r="F93" s="20">
        <f t="shared" si="44"/>
        <v>0</v>
      </c>
      <c r="G93" s="20">
        <f t="shared" si="44"/>
        <v>0</v>
      </c>
      <c r="H93" s="20">
        <f t="shared" si="44"/>
        <v>0</v>
      </c>
      <c r="I93" s="20">
        <f t="shared" si="44"/>
        <v>0</v>
      </c>
      <c r="J93" s="20">
        <f t="shared" si="44"/>
        <v>0</v>
      </c>
      <c r="K93" s="20">
        <f t="shared" si="44"/>
        <v>0</v>
      </c>
      <c r="M93" s="21"/>
      <c r="N93" s="15"/>
    </row>
    <row r="94" spans="2:14" hidden="1" outlineLevel="1">
      <c r="B94" s="437" t="str">
        <f>$B$35</f>
        <v>TUC</v>
      </c>
      <c r="C94" s="438">
        <f t="shared" ref="C94:K94" si="45">C35-C67</f>
        <v>401.99999999999454</v>
      </c>
      <c r="D94" s="438">
        <f t="shared" si="45"/>
        <v>556.08999999999969</v>
      </c>
      <c r="E94" s="438">
        <f t="shared" si="45"/>
        <v>666.72365600000001</v>
      </c>
      <c r="F94" s="438">
        <f t="shared" si="45"/>
        <v>0</v>
      </c>
      <c r="G94" s="438">
        <f t="shared" si="45"/>
        <v>0</v>
      </c>
      <c r="H94" s="438">
        <f t="shared" si="45"/>
        <v>0</v>
      </c>
      <c r="I94" s="438">
        <f t="shared" si="45"/>
        <v>0</v>
      </c>
      <c r="J94" s="438">
        <f t="shared" si="45"/>
        <v>0</v>
      </c>
      <c r="K94" s="438">
        <f t="shared" si="45"/>
        <v>0</v>
      </c>
      <c r="M94" s="21"/>
      <c r="N94" s="15"/>
    </row>
    <row r="95" spans="2:14" hidden="1" outlineLevel="1">
      <c r="B95" s="437" t="str">
        <f>$B$36</f>
        <v>TUC International (Excl. JV)</v>
      </c>
      <c r="C95" s="438">
        <f>'TUC International'!E57</f>
        <v>0</v>
      </c>
      <c r="D95" s="438">
        <f>'TUC International'!F57</f>
        <v>0</v>
      </c>
      <c r="E95" s="438">
        <f>'TUC International'!G57</f>
        <v>0</v>
      </c>
      <c r="F95" s="438">
        <f>'TUC International'!H57</f>
        <v>0</v>
      </c>
      <c r="G95" s="438">
        <f>'TUC International'!I57</f>
        <v>0</v>
      </c>
      <c r="H95" s="438">
        <f>'TUC International'!J57</f>
        <v>0</v>
      </c>
      <c r="I95" s="438">
        <f>'TUC International'!K57</f>
        <v>0</v>
      </c>
      <c r="J95" s="438">
        <f>'TUC International'!L57</f>
        <v>0</v>
      </c>
      <c r="K95" s="438">
        <f>'TUC International'!M57</f>
        <v>0</v>
      </c>
      <c r="M95" s="21"/>
      <c r="N95" s="15"/>
    </row>
    <row r="96" spans="2:14" hidden="1" outlineLevel="1">
      <c r="B96" s="437" t="str">
        <f>$B$37</f>
        <v>TUC JV</v>
      </c>
      <c r="C96" s="438">
        <f t="shared" ref="C96:K96" si="46">C37-C69</f>
        <v>0</v>
      </c>
      <c r="D96" s="438">
        <f t="shared" si="46"/>
        <v>0</v>
      </c>
      <c r="E96" s="438">
        <f t="shared" si="46"/>
        <v>0</v>
      </c>
      <c r="F96" s="438">
        <f t="shared" si="46"/>
        <v>0</v>
      </c>
      <c r="G96" s="438">
        <f t="shared" si="46"/>
        <v>0</v>
      </c>
      <c r="H96" s="438">
        <f t="shared" si="46"/>
        <v>0</v>
      </c>
      <c r="I96" s="438">
        <f t="shared" si="46"/>
        <v>0</v>
      </c>
      <c r="J96" s="438">
        <f t="shared" si="46"/>
        <v>0</v>
      </c>
      <c r="K96" s="438">
        <f t="shared" si="46"/>
        <v>0</v>
      </c>
      <c r="M96" s="21"/>
      <c r="N96" s="15"/>
    </row>
    <row r="97" spans="2:14" collapsed="1">
      <c r="B97" s="19" t="str">
        <f>$B$38</f>
        <v>nth Bio</v>
      </c>
      <c r="C97" s="20">
        <f t="shared" ref="C97" si="47">C38-C70</f>
        <v>2890</v>
      </c>
      <c r="D97" s="20">
        <f t="shared" ref="D97:K97" si="48">D38-D70</f>
        <v>10143.365517241378</v>
      </c>
      <c r="E97" s="20">
        <f t="shared" si="48"/>
        <v>17362.907342657345</v>
      </c>
      <c r="F97" s="20">
        <f t="shared" si="48"/>
        <v>31934.298000000003</v>
      </c>
      <c r="G97" s="20">
        <f t="shared" si="48"/>
        <v>33840.009264</v>
      </c>
      <c r="H97" s="20">
        <f t="shared" si="48"/>
        <v>36180.119833043995</v>
      </c>
      <c r="I97" s="20">
        <f t="shared" si="48"/>
        <v>38459.279248055122</v>
      </c>
      <c r="J97" s="20">
        <f t="shared" si="48"/>
        <v>41231.978276875307</v>
      </c>
      <c r="K97" s="20">
        <f t="shared" si="48"/>
        <v>43709.534690719047</v>
      </c>
      <c r="M97" s="21"/>
      <c r="N97" s="15"/>
    </row>
    <row r="98" spans="2:14" hidden="1" outlineLevel="1">
      <c r="B98" s="437" t="str">
        <f>$B$39</f>
        <v>SLC Pilot</v>
      </c>
      <c r="C98" s="438">
        <f t="shared" ref="C98:K98" si="49">C39-C71</f>
        <v>359.99999999999994</v>
      </c>
      <c r="D98" s="438">
        <f t="shared" si="49"/>
        <v>800</v>
      </c>
      <c r="E98" s="438">
        <f t="shared" si="49"/>
        <v>1300</v>
      </c>
      <c r="F98" s="438">
        <f t="shared" si="49"/>
        <v>1800</v>
      </c>
      <c r="G98" s="438">
        <f t="shared" si="49"/>
        <v>1890</v>
      </c>
      <c r="H98" s="438">
        <f t="shared" si="49"/>
        <v>1984.5</v>
      </c>
      <c r="I98" s="438">
        <f t="shared" si="49"/>
        <v>2083.7249999999999</v>
      </c>
      <c r="J98" s="438">
        <f t="shared" si="49"/>
        <v>2187.9112500000001</v>
      </c>
      <c r="K98" s="438">
        <f t="shared" si="49"/>
        <v>2297.3068125000004</v>
      </c>
      <c r="M98" s="21"/>
      <c r="N98" s="15"/>
    </row>
    <row r="99" spans="2:14" hidden="1" outlineLevel="1">
      <c r="B99" s="437" t="str">
        <f>$B$40</f>
        <v>SBL Pilot</v>
      </c>
      <c r="C99" s="438">
        <f t="shared" ref="C99:K100" si="50">C40-C72</f>
        <v>0</v>
      </c>
      <c r="D99" s="438">
        <f t="shared" si="50"/>
        <v>240</v>
      </c>
      <c r="E99" s="438">
        <f t="shared" si="50"/>
        <v>840</v>
      </c>
      <c r="F99" s="438">
        <f t="shared" si="50"/>
        <v>2880</v>
      </c>
      <c r="G99" s="438">
        <f t="shared" si="50"/>
        <v>3024</v>
      </c>
      <c r="H99" s="438">
        <f t="shared" si="50"/>
        <v>3175.2</v>
      </c>
      <c r="I99" s="438">
        <f t="shared" si="50"/>
        <v>3333.96</v>
      </c>
      <c r="J99" s="438">
        <f t="shared" si="50"/>
        <v>3500.6579999999999</v>
      </c>
      <c r="K99" s="438">
        <f t="shared" si="50"/>
        <v>3675.6909000000005</v>
      </c>
      <c r="M99" s="21"/>
      <c r="N99" s="15"/>
    </row>
    <row r="100" spans="2:14" hidden="1" outlineLevel="1">
      <c r="B100" s="437" t="str">
        <f>$B$41</f>
        <v>Pharma Initiative (Sri/Bonney)</v>
      </c>
      <c r="C100" s="438">
        <f t="shared" si="50"/>
        <v>0</v>
      </c>
      <c r="D100" s="438">
        <f t="shared" si="50"/>
        <v>0</v>
      </c>
      <c r="E100" s="438">
        <f t="shared" si="50"/>
        <v>2184.8399999999997</v>
      </c>
      <c r="F100" s="438">
        <f t="shared" si="50"/>
        <v>11142.683999999997</v>
      </c>
      <c r="G100" s="438">
        <f t="shared" si="50"/>
        <v>11933.814563999998</v>
      </c>
      <c r="H100" s="438">
        <f t="shared" si="50"/>
        <v>12781.115398043999</v>
      </c>
      <c r="I100" s="438">
        <f t="shared" si="50"/>
        <v>13688.574591305123</v>
      </c>
      <c r="J100" s="438">
        <f t="shared" si="50"/>
        <v>14660.463387287786</v>
      </c>
      <c r="K100" s="438">
        <f t="shared" si="50"/>
        <v>15393.486556652177</v>
      </c>
      <c r="M100" s="21"/>
      <c r="N100" s="15"/>
    </row>
    <row r="101" spans="2:14" hidden="1" outlineLevel="1">
      <c r="B101" s="437" t="str">
        <f>$B$42</f>
        <v>SLC Ferm Farm</v>
      </c>
      <c r="C101" s="438">
        <f t="shared" ref="C101:K101" si="51">C42-C74</f>
        <v>275</v>
      </c>
      <c r="D101" s="438">
        <f t="shared" si="51"/>
        <v>1089.5999999999999</v>
      </c>
      <c r="E101" s="438">
        <f t="shared" si="51"/>
        <v>1934.52</v>
      </c>
      <c r="F101" s="438">
        <f t="shared" si="51"/>
        <v>2660.9940000000001</v>
      </c>
      <c r="G101" s="438">
        <f t="shared" si="51"/>
        <v>2794.0437000000002</v>
      </c>
      <c r="H101" s="438">
        <f t="shared" si="51"/>
        <v>2933.7458850000007</v>
      </c>
      <c r="I101" s="438">
        <f t="shared" si="51"/>
        <v>3080.4331792500002</v>
      </c>
      <c r="J101" s="438">
        <f t="shared" si="51"/>
        <v>3234.4548382125008</v>
      </c>
      <c r="K101" s="438">
        <f t="shared" si="51"/>
        <v>3396.1775801231252</v>
      </c>
      <c r="M101" s="21"/>
      <c r="N101" s="15"/>
    </row>
    <row r="102" spans="2:14" hidden="1" outlineLevel="1">
      <c r="B102" s="437" t="str">
        <f>$B$43</f>
        <v>India Ferm Farm</v>
      </c>
      <c r="C102" s="438">
        <f t="shared" ref="C102:K102" si="52">C43-C75</f>
        <v>0</v>
      </c>
      <c r="D102" s="438">
        <f t="shared" si="52"/>
        <v>244.79999999999998</v>
      </c>
      <c r="E102" s="438">
        <f t="shared" si="52"/>
        <v>899.64</v>
      </c>
      <c r="F102" s="438">
        <f t="shared" si="52"/>
        <v>1574.3700000000001</v>
      </c>
      <c r="G102" s="438">
        <f t="shared" si="52"/>
        <v>1653.0885000000003</v>
      </c>
      <c r="H102" s="438">
        <f t="shared" si="52"/>
        <v>1735.7429250000005</v>
      </c>
      <c r="I102" s="438">
        <f t="shared" si="52"/>
        <v>1822.5300712500002</v>
      </c>
      <c r="J102" s="438">
        <f t="shared" si="52"/>
        <v>1913.6565748125004</v>
      </c>
      <c r="K102" s="438">
        <f t="shared" si="52"/>
        <v>2009.3394035531255</v>
      </c>
      <c r="M102" s="21"/>
      <c r="N102" s="15"/>
    </row>
    <row r="103" spans="2:14" hidden="1" outlineLevel="1">
      <c r="B103" s="437" t="str">
        <f>$B$44</f>
        <v>S2S/uHTS</v>
      </c>
      <c r="C103" s="438">
        <f t="shared" ref="C103:K103" si="53">C44-C76</f>
        <v>2255</v>
      </c>
      <c r="D103" s="438">
        <f t="shared" si="53"/>
        <v>3568.9655172413795</v>
      </c>
      <c r="E103" s="438">
        <f t="shared" si="53"/>
        <v>5242.6573426573432</v>
      </c>
      <c r="F103" s="438">
        <f t="shared" si="53"/>
        <v>5788.125</v>
      </c>
      <c r="G103" s="438">
        <f t="shared" si="53"/>
        <v>6077.53125</v>
      </c>
      <c r="H103" s="438">
        <f t="shared" si="53"/>
        <v>6381.4078124999996</v>
      </c>
      <c r="I103" s="438">
        <f t="shared" si="53"/>
        <v>6700.4782031249997</v>
      </c>
      <c r="J103" s="438">
        <f t="shared" si="53"/>
        <v>7035.5021132812508</v>
      </c>
      <c r="K103" s="438">
        <f t="shared" si="53"/>
        <v>7387.2772189453135</v>
      </c>
      <c r="M103" s="21"/>
      <c r="N103" s="15"/>
    </row>
    <row r="104" spans="2:14" hidden="1" outlineLevel="1">
      <c r="B104" s="437" t="str">
        <f>$B$45</f>
        <v>License</v>
      </c>
      <c r="C104" s="438">
        <f t="shared" ref="C104:K104" si="54">C45-C77</f>
        <v>0</v>
      </c>
      <c r="D104" s="438">
        <f t="shared" si="54"/>
        <v>2625</v>
      </c>
      <c r="E104" s="438">
        <f t="shared" si="54"/>
        <v>2756.25</v>
      </c>
      <c r="F104" s="438">
        <f t="shared" si="54"/>
        <v>2894.0625</v>
      </c>
      <c r="G104" s="438">
        <f t="shared" si="54"/>
        <v>3038.765625</v>
      </c>
      <c r="H104" s="438">
        <f t="shared" si="54"/>
        <v>3190.7039062500003</v>
      </c>
      <c r="I104" s="438">
        <f t="shared" si="54"/>
        <v>3350.2391015625003</v>
      </c>
      <c r="J104" s="438">
        <f t="shared" si="54"/>
        <v>3517.7510566406254</v>
      </c>
      <c r="K104" s="438">
        <f t="shared" si="54"/>
        <v>3693.6386094726568</v>
      </c>
      <c r="M104" s="21"/>
      <c r="N104" s="15"/>
    </row>
    <row r="105" spans="2:14" hidden="1" outlineLevel="1">
      <c r="B105" s="437" t="str">
        <f>$B$46</f>
        <v>Milestone</v>
      </c>
      <c r="C105" s="438">
        <f t="shared" ref="C105:K105" si="55">C46-C78</f>
        <v>0</v>
      </c>
      <c r="D105" s="438">
        <f t="shared" si="55"/>
        <v>1575</v>
      </c>
      <c r="E105" s="438">
        <f t="shared" si="55"/>
        <v>2205</v>
      </c>
      <c r="F105" s="438">
        <f t="shared" si="55"/>
        <v>2894.0625</v>
      </c>
      <c r="G105" s="438">
        <f t="shared" si="55"/>
        <v>3038.7656250000005</v>
      </c>
      <c r="H105" s="438">
        <f t="shared" si="55"/>
        <v>3190.7039062500007</v>
      </c>
      <c r="I105" s="438">
        <f t="shared" si="55"/>
        <v>3350.2391015625012</v>
      </c>
      <c r="J105" s="438">
        <f t="shared" si="55"/>
        <v>3517.7510566406263</v>
      </c>
      <c r="K105" s="438">
        <f t="shared" si="55"/>
        <v>3693.6386094726577</v>
      </c>
      <c r="M105" s="21"/>
      <c r="N105" s="15"/>
    </row>
    <row r="106" spans="2:14" hidden="1" outlineLevel="1">
      <c r="B106" s="437" t="str">
        <f>$B$47</f>
        <v>Licensing</v>
      </c>
      <c r="C106" s="438">
        <f t="shared" ref="C106:K106" si="56">C47-C79</f>
        <v>0</v>
      </c>
      <c r="D106" s="438">
        <f t="shared" si="56"/>
        <v>0</v>
      </c>
      <c r="E106" s="438">
        <f t="shared" si="56"/>
        <v>0</v>
      </c>
      <c r="F106" s="438">
        <f t="shared" si="56"/>
        <v>300</v>
      </c>
      <c r="G106" s="438">
        <f t="shared" si="56"/>
        <v>390</v>
      </c>
      <c r="H106" s="438">
        <f t="shared" si="56"/>
        <v>807</v>
      </c>
      <c r="I106" s="438">
        <f t="shared" si="56"/>
        <v>1049.1000000000001</v>
      </c>
      <c r="J106" s="438">
        <f t="shared" si="56"/>
        <v>1663.8300000000004</v>
      </c>
      <c r="K106" s="438">
        <f t="shared" si="56"/>
        <v>2162.9790000000003</v>
      </c>
      <c r="M106" s="21"/>
      <c r="N106" s="15"/>
    </row>
    <row r="107" spans="2:14" ht="15" customHeight="1" collapsed="1" thickBot="1">
      <c r="B107" s="23" t="str">
        <f>$B$48</f>
        <v>Total</v>
      </c>
      <c r="C107" s="24">
        <f t="shared" ref="C107:K107" si="57">C48-C80</f>
        <v>-25970.00239334174</v>
      </c>
      <c r="D107" s="24">
        <f t="shared" si="57"/>
        <v>-17658.205228615116</v>
      </c>
      <c r="E107" s="24">
        <f t="shared" si="57"/>
        <v>14475.313715975688</v>
      </c>
      <c r="F107" s="24">
        <f t="shared" si="57"/>
        <v>96874.343893514568</v>
      </c>
      <c r="G107" s="24">
        <f t="shared" si="57"/>
        <v>223631.31034967588</v>
      </c>
      <c r="H107" s="24">
        <f t="shared" si="57"/>
        <v>235909.81634343538</v>
      </c>
      <c r="I107" s="24">
        <f t="shared" si="57"/>
        <v>254708.40578795265</v>
      </c>
      <c r="J107" s="24">
        <f t="shared" si="57"/>
        <v>259977.74505151802</v>
      </c>
      <c r="K107" s="24">
        <f t="shared" si="57"/>
        <v>263715.12746206857</v>
      </c>
      <c r="M107" s="21"/>
      <c r="N107" s="15"/>
    </row>
    <row r="108" spans="2:14" ht="15" customHeight="1">
      <c r="B108" s="176" t="s">
        <v>423</v>
      </c>
      <c r="C108" s="262">
        <f>C107/C48</f>
        <v>-0.36784881092082872</v>
      </c>
      <c r="D108" s="262">
        <f>D107/D48</f>
        <v>-0.19391166060549081</v>
      </c>
      <c r="E108" s="262">
        <f t="shared" ref="E108:K108" si="58">IFERROR(IF(E107 &lt; 0, "", E107/E48), 0 )</f>
        <v>0.1003362328713308</v>
      </c>
      <c r="F108" s="262">
        <f t="shared" si="58"/>
        <v>0.2977313641713919</v>
      </c>
      <c r="G108" s="262">
        <f t="shared" si="58"/>
        <v>0.40674042380523423</v>
      </c>
      <c r="H108" s="262">
        <f t="shared" si="58"/>
        <v>0.38862302552977429</v>
      </c>
      <c r="I108" s="262">
        <f t="shared" si="58"/>
        <v>0.39229765499726604</v>
      </c>
      <c r="J108" s="262">
        <f t="shared" si="58"/>
        <v>0.38945731117191568</v>
      </c>
      <c r="K108" s="262">
        <f t="shared" si="58"/>
        <v>0.39118283978692375</v>
      </c>
      <c r="M108" s="21"/>
      <c r="N108" s="15"/>
    </row>
    <row r="109" spans="2:14" ht="3.75" customHeight="1">
      <c r="C109" s="14"/>
      <c r="D109" s="14"/>
      <c r="E109" s="14"/>
      <c r="F109" s="14"/>
      <c r="G109" s="14"/>
      <c r="H109" s="14"/>
      <c r="I109" s="14"/>
      <c r="J109" s="14"/>
      <c r="K109" s="14"/>
      <c r="M109" s="21"/>
      <c r="N109" s="15"/>
    </row>
    <row r="110" spans="2:14" s="15" customFormat="1">
      <c r="B110" s="431" t="s">
        <v>79</v>
      </c>
      <c r="C110" s="441"/>
      <c r="D110" s="441"/>
      <c r="E110" s="441"/>
      <c r="F110" s="441"/>
      <c r="G110" s="441"/>
      <c r="H110" s="441"/>
      <c r="I110" s="441"/>
      <c r="J110" s="441"/>
      <c r="K110" s="441"/>
      <c r="M110" s="21"/>
    </row>
    <row r="111" spans="2:14">
      <c r="B111" s="19" t="str">
        <f>$B$24</f>
        <v>B2B Global</v>
      </c>
      <c r="C111" s="293">
        <f>_xlfn.XLOOKUP(C$5, Overheads!$C$3:$L$3, Overheads!$C$23:$L$23, 0)</f>
        <v>15790.767802932856</v>
      </c>
      <c r="D111" s="293">
        <f>_xlfn.XLOOKUP(D$5, Overheads!$C$3:$L$3, Overheads!$C$23:$L$23, 0)</f>
        <v>11543.302849568034</v>
      </c>
      <c r="E111" s="293">
        <f>_xlfn.XLOOKUP(E$5, Overheads!$C$3:$L$3, Overheads!$C$23:$L$23, 0)</f>
        <v>15605.089804741163</v>
      </c>
      <c r="F111" s="293">
        <f>_xlfn.XLOOKUP(F$5, Overheads!$C$3:$L$3, Overheads!$C$23:$L$23, 0)</f>
        <v>20192.111590259741</v>
      </c>
      <c r="G111" s="293">
        <f>_xlfn.XLOOKUP(G$5, Overheads!$C$3:$L$3, Overheads!$C$23:$L$23, 0)</f>
        <v>27771.252936257482</v>
      </c>
      <c r="H111" s="293">
        <f>_xlfn.XLOOKUP(H$5, Overheads!$C$3:$L$3, Overheads!$C$23:$L$23, 0)</f>
        <v>27909.082616558815</v>
      </c>
      <c r="I111" s="293">
        <f>_xlfn.XLOOKUP(I$5, Overheads!$C$3:$L$3, Overheads!$C$23:$L$23, 0)</f>
        <v>30626.803931241</v>
      </c>
      <c r="J111" s="293">
        <f>_xlfn.XLOOKUP(J$5, Overheads!$C$3:$L$3, Overheads!$C$23:$L$23, 0)</f>
        <v>31170.91996534741</v>
      </c>
      <c r="K111" s="293">
        <f>_xlfn.XLOOKUP(K$5, Overheads!$C$3:$L$3, Overheads!$C$23:$L$23, 0)</f>
        <v>31894.322750305837</v>
      </c>
      <c r="M111" s="529"/>
      <c r="N111" s="15"/>
    </row>
    <row r="112" spans="2:14">
      <c r="B112" s="19" t="s">
        <v>340</v>
      </c>
      <c r="C112" s="293">
        <f>_xlfn.XLOOKUP(C$5, Overheads!$C$3:$L$3, Overheads!$C$41:$L$41, 0)</f>
        <v>4984</v>
      </c>
      <c r="D112" s="293">
        <f>_xlfn.XLOOKUP(D$5, Overheads!$C$3:$L$3, Overheads!$C$41:$L$41, 0)</f>
        <v>5133.5199999999995</v>
      </c>
      <c r="E112" s="293">
        <f>_xlfn.XLOOKUP(E$5, Overheads!$C$3:$L$3, Overheads!$C$41:$L$41, 0)</f>
        <v>5287.5255999999999</v>
      </c>
      <c r="F112" s="293">
        <f>_xlfn.XLOOKUP(F$5, Overheads!$C$3:$L$3, Overheads!$C$41:$L$41, 0)</f>
        <v>6646.1513680000007</v>
      </c>
      <c r="G112" s="293">
        <f>_xlfn.XLOOKUP(G$5, Overheads!$C$3:$L$3, Overheads!$C$41:$L$41, 0)</f>
        <v>6845.5359090400007</v>
      </c>
      <c r="H112" s="293">
        <f>_xlfn.XLOOKUP(H$5, Overheads!$C$3:$L$3, Overheads!$C$41:$L$41, 0)</f>
        <v>7050.9019863112007</v>
      </c>
      <c r="I112" s="293">
        <f>_xlfn.XLOOKUP(I$5, Overheads!$C$3:$L$3, Overheads!$C$41:$L$41, 0)</f>
        <v>7262.4290459005369</v>
      </c>
      <c r="J112" s="293">
        <f>_xlfn.XLOOKUP(J$5, Overheads!$C$3:$L$3, Overheads!$C$41:$L$41, 0)</f>
        <v>7480.301917277553</v>
      </c>
      <c r="K112" s="293">
        <f>_xlfn.XLOOKUP(K$5, Overheads!$C$3:$L$3, Overheads!$C$41:$L$41, 0)</f>
        <v>7704.7109747958793</v>
      </c>
      <c r="M112" s="529"/>
      <c r="N112" s="15"/>
    </row>
    <row r="113" spans="2:14">
      <c r="B113" s="19" t="str">
        <f>$B$34</f>
        <v>TUC Global</v>
      </c>
      <c r="C113" s="293">
        <f>SUM(C114:C116)</f>
        <v>16465.943761568502</v>
      </c>
      <c r="D113" s="293">
        <f t="shared" ref="D113:K113" si="59">SUM(D114:D116)</f>
        <v>1221.5242283453058</v>
      </c>
      <c r="E113" s="293">
        <f t="shared" si="59"/>
        <v>580.116630861673</v>
      </c>
      <c r="F113" s="293">
        <f t="shared" si="59"/>
        <v>0</v>
      </c>
      <c r="G113" s="293">
        <f t="shared" si="59"/>
        <v>0</v>
      </c>
      <c r="H113" s="293">
        <f t="shared" si="59"/>
        <v>0</v>
      </c>
      <c r="I113" s="293">
        <f t="shared" si="59"/>
        <v>0</v>
      </c>
      <c r="J113" s="293">
        <f t="shared" si="59"/>
        <v>0</v>
      </c>
      <c r="K113" s="293">
        <f t="shared" si="59"/>
        <v>0</v>
      </c>
      <c r="M113" s="529"/>
      <c r="N113" s="15"/>
    </row>
    <row r="114" spans="2:14" hidden="1" outlineLevel="1">
      <c r="B114" s="437" t="str">
        <f>$B$35</f>
        <v>TUC</v>
      </c>
      <c r="C114" s="438">
        <f>_xlfn.XLOOKUP(C$5, Overheads!$C$3:$L$3, Overheads!$C$167:$L$167, 0)</f>
        <v>16465.943761568502</v>
      </c>
      <c r="D114" s="438">
        <f>_xlfn.XLOOKUP(D$5, Overheads!$C$3:$L$3, Overheads!$C$167:$L$167, 0)</f>
        <v>1221.5242283453058</v>
      </c>
      <c r="E114" s="438">
        <f>_xlfn.XLOOKUP(E$5, Overheads!$C$3:$L$3, Overheads!$C$167:$L$167, 0)</f>
        <v>580.116630861673</v>
      </c>
      <c r="F114" s="438">
        <f>_xlfn.XLOOKUP(F$5, Overheads!$C$3:$L$3, Overheads!$C$167:$L$167, 0)</f>
        <v>0</v>
      </c>
      <c r="G114" s="438">
        <f>_xlfn.XLOOKUP(G$5, Overheads!$C$3:$L$3, Overheads!$C$167:$L$167, 0)</f>
        <v>0</v>
      </c>
      <c r="H114" s="438">
        <f>_xlfn.XLOOKUP(H$5, Overheads!$C$3:$L$3, Overheads!$C$167:$L$167, 0)</f>
        <v>0</v>
      </c>
      <c r="I114" s="438">
        <f>_xlfn.XLOOKUP(I$5, Overheads!$C$3:$L$3, Overheads!$C$167:$L$167, 0)</f>
        <v>0</v>
      </c>
      <c r="J114" s="438">
        <f>_xlfn.XLOOKUP(J$5, Overheads!$C$3:$L$3, Overheads!$C$167:$L$167, 0)</f>
        <v>0</v>
      </c>
      <c r="K114" s="438">
        <f>_xlfn.XLOOKUP(K$5, Overheads!$C$3:$L$3, Overheads!$C$167:$L$167, 0)</f>
        <v>0</v>
      </c>
      <c r="M114" s="529"/>
      <c r="N114" s="15"/>
    </row>
    <row r="115" spans="2:14" hidden="1" outlineLevel="1">
      <c r="B115" s="437" t="str">
        <f>$B$36</f>
        <v>TUC International (Excl. JV)</v>
      </c>
      <c r="C115" s="438">
        <f>_xlfn.XLOOKUP(C$5, Overheads!$C$3:$L$3, Overheads!$C$185:$L$185, 0)</f>
        <v>0</v>
      </c>
      <c r="D115" s="438">
        <f>_xlfn.XLOOKUP(D$5, Overheads!$C$3:$L$3, Overheads!$C$185:$L$185, 0)</f>
        <v>0</v>
      </c>
      <c r="E115" s="438">
        <f>_xlfn.XLOOKUP(E$5, Overheads!$C$3:$L$3, Overheads!$C$185:$L$185, 0)</f>
        <v>0</v>
      </c>
      <c r="F115" s="438">
        <f>_xlfn.XLOOKUP(F$5, Overheads!$C$3:$L$3, Overheads!$C$185:$L$185, 0)</f>
        <v>0</v>
      </c>
      <c r="G115" s="438">
        <f>_xlfn.XLOOKUP(G$5, Overheads!$C$3:$L$3, Overheads!$C$185:$L$185, 0)</f>
        <v>0</v>
      </c>
      <c r="H115" s="438">
        <f>_xlfn.XLOOKUP(H$5, Overheads!$C$3:$L$3, Overheads!$C$185:$L$185, 0)</f>
        <v>0</v>
      </c>
      <c r="I115" s="438">
        <f>_xlfn.XLOOKUP(I$5, Overheads!$C$3:$L$3, Overheads!$C$185:$L$185, 0)</f>
        <v>0</v>
      </c>
      <c r="J115" s="438">
        <f>_xlfn.XLOOKUP(J$5, Overheads!$C$3:$L$3, Overheads!$C$185:$L$185, 0)</f>
        <v>0</v>
      </c>
      <c r="K115" s="438">
        <f>_xlfn.XLOOKUP(K$5, Overheads!$C$3:$L$3, Overheads!$C$185:$L$185, 0)</f>
        <v>0</v>
      </c>
      <c r="M115" s="529"/>
      <c r="N115" s="15"/>
    </row>
    <row r="116" spans="2:14" hidden="1" outlineLevel="1">
      <c r="B116" s="437" t="str">
        <f>$B$37</f>
        <v>TUC JV</v>
      </c>
      <c r="C116" s="438">
        <f>_xlfn.XLOOKUP(C$5, Overheads!$C$3:$L$3, Overheads!$C$203:$L$203, 0)</f>
        <v>0</v>
      </c>
      <c r="D116" s="438">
        <f>_xlfn.XLOOKUP(D$5, Overheads!$C$3:$L$3, Overheads!$C$203:$L$203, 0)</f>
        <v>0</v>
      </c>
      <c r="E116" s="438">
        <f>_xlfn.XLOOKUP(E$5, Overheads!$C$3:$L$3, Overheads!$C$203:$L$203, 0)</f>
        <v>0</v>
      </c>
      <c r="F116" s="438">
        <f>_xlfn.XLOOKUP(F$5, Overheads!$C$3:$L$3, Overheads!$C$203:$L$203, 0)</f>
        <v>0</v>
      </c>
      <c r="G116" s="438">
        <f>_xlfn.XLOOKUP(G$5, Overheads!$C$3:$L$3, Overheads!$C$203:$L$203, 0)</f>
        <v>0</v>
      </c>
      <c r="H116" s="438">
        <f>_xlfn.XLOOKUP(H$5, Overheads!$C$3:$L$3, Overheads!$C$203:$L$203, 0)</f>
        <v>0</v>
      </c>
      <c r="I116" s="438">
        <f>_xlfn.XLOOKUP(I$5, Overheads!$C$3:$L$3, Overheads!$C$203:$L$203, 0)</f>
        <v>0</v>
      </c>
      <c r="J116" s="438">
        <f>_xlfn.XLOOKUP(J$5, Overheads!$C$3:$L$3, Overheads!$C$203:$L$203, 0)</f>
        <v>0</v>
      </c>
      <c r="K116" s="438">
        <f>_xlfn.XLOOKUP(K$5, Overheads!$C$3:$L$3, Overheads!$C$203:$L$203, 0)</f>
        <v>0</v>
      </c>
      <c r="M116" s="529"/>
      <c r="N116" s="15"/>
    </row>
    <row r="117" spans="2:14" collapsed="1">
      <c r="B117" s="19" t="str">
        <f>$B$38</f>
        <v>nth Bio</v>
      </c>
      <c r="C117" s="293">
        <f>SUM(C118:C121)</f>
        <v>26928.008831048737</v>
      </c>
      <c r="D117" s="293">
        <f t="shared" ref="D117:K117" si="60">SUM(D118:D121)</f>
        <v>19850.371774842235</v>
      </c>
      <c r="E117" s="293">
        <f t="shared" si="60"/>
        <v>19688.459282315685</v>
      </c>
      <c r="F117" s="293">
        <f t="shared" si="60"/>
        <v>15677.218727434285</v>
      </c>
      <c r="G117" s="293">
        <f t="shared" si="60"/>
        <v>21615.587875196972</v>
      </c>
      <c r="H117" s="293">
        <f t="shared" si="60"/>
        <v>22390.294412891271</v>
      </c>
      <c r="I117" s="293">
        <f t="shared" si="60"/>
        <v>23203.774184309863</v>
      </c>
      <c r="J117" s="293">
        <f t="shared" si="60"/>
        <v>24058.649879972487</v>
      </c>
      <c r="K117" s="293">
        <f t="shared" si="60"/>
        <v>24649.875956878182</v>
      </c>
      <c r="M117" s="529"/>
      <c r="N117" s="15"/>
    </row>
    <row r="118" spans="2:14" hidden="1" outlineLevel="1">
      <c r="B118" s="437" t="s">
        <v>611</v>
      </c>
      <c r="C118" s="438">
        <f>_xlfn.XLOOKUP(C$5, Overheads!$C$3:$L$3, Overheads!$C$95:$L$95, 0)</f>
        <v>17355.108831048736</v>
      </c>
      <c r="D118" s="438">
        <f>_xlfn.XLOOKUP(D$5, Overheads!$C$3:$L$3, Overheads!$C$95:$L$95, 0)</f>
        <v>9639.6145748422332</v>
      </c>
      <c r="E118" s="438">
        <f>_xlfn.XLOOKUP(E$5, Overheads!$C$3:$L$3, Overheads!$C$95:$L$95, 0)</f>
        <v>9143.7982143156842</v>
      </c>
      <c r="F118" s="438">
        <f>_xlfn.XLOOKUP(F$5, Overheads!$C$3:$L$3, Overheads!$C$95:$L$95, 0)</f>
        <v>4685.4389339542831</v>
      </c>
      <c r="G118" s="438">
        <f>_xlfn.XLOOKUP(G$5, Overheads!$C$3:$L$3, Overheads!$C$95:$L$95, 0)</f>
        <v>10270.028836955771</v>
      </c>
      <c r="H118" s="438">
        <f>_xlfn.XLOOKUP(H$5, Overheads!$C$3:$L$3, Overheads!$C$95:$L$95, 0)</f>
        <v>10679.335940907762</v>
      </c>
      <c r="I118" s="438">
        <f>_xlfn.XLOOKUP(I$5, Overheads!$C$3:$L$3, Overheads!$C$95:$L$95, 0)</f>
        <v>11115.406295915975</v>
      </c>
      <c r="J118" s="438">
        <f>_xlfn.XLOOKUP(J$5, Overheads!$C$3:$L$3, Overheads!$C$95:$L$95, 0)</f>
        <v>11580.459439170829</v>
      </c>
      <c r="K118" s="438">
        <f>_xlfn.XLOOKUP(K$5, Overheads!$C$3:$L$3, Overheads!$C$95:$L$95, 0)</f>
        <v>11769.032846910944</v>
      </c>
      <c r="M118" s="529"/>
      <c r="N118" s="15"/>
    </row>
    <row r="119" spans="2:14" hidden="1" outlineLevel="1">
      <c r="B119" s="437" t="s">
        <v>612</v>
      </c>
      <c r="C119" s="438">
        <f>_xlfn.XLOOKUP(C$5, Overheads!$C$3:$L$3, Overheads!$C$113:$L$113, 0)</f>
        <v>0</v>
      </c>
      <c r="D119" s="438">
        <f>_xlfn.XLOOKUP(D$5, Overheads!$C$3:$L$3, Overheads!$C$113:$L$113, 0)</f>
        <v>0</v>
      </c>
      <c r="E119" s="438">
        <f>_xlfn.XLOOKUP(E$5, Overheads!$C$3:$L$3, Overheads!$C$113:$L$113, 0)</f>
        <v>0</v>
      </c>
      <c r="F119" s="438">
        <f>_xlfn.XLOOKUP(F$5, Overheads!$C$3:$L$3, Overheads!$C$113:$L$113, 0)</f>
        <v>0</v>
      </c>
      <c r="G119" s="438">
        <f>_xlfn.XLOOKUP(G$5, Overheads!$C$3:$L$3, Overheads!$C$113:$L$113, 0)</f>
        <v>0</v>
      </c>
      <c r="H119" s="438">
        <f>_xlfn.XLOOKUP(H$5, Overheads!$C$3:$L$3, Overheads!$C$113:$L$113, 0)</f>
        <v>0</v>
      </c>
      <c r="I119" s="438">
        <f>_xlfn.XLOOKUP(I$5, Overheads!$C$3:$L$3, Overheads!$C$113:$L$113, 0)</f>
        <v>0</v>
      </c>
      <c r="J119" s="438">
        <f>_xlfn.XLOOKUP(J$5, Overheads!$C$3:$L$3, Overheads!$C$113:$L$113, 0)</f>
        <v>0</v>
      </c>
      <c r="K119" s="438">
        <f>_xlfn.XLOOKUP(K$5, Overheads!$C$3:$L$3, Overheads!$C$113:$L$113, 0)</f>
        <v>0</v>
      </c>
      <c r="M119" s="529"/>
      <c r="N119" s="15"/>
    </row>
    <row r="120" spans="2:14" hidden="1" outlineLevel="1">
      <c r="B120" s="437" t="s">
        <v>620</v>
      </c>
      <c r="C120" s="438">
        <f>_xlfn.XLOOKUP(C$5, Overheads!$C$3:$L$3, Overheads!$C$131:$L$131, 0)</f>
        <v>2543.38</v>
      </c>
      <c r="D120" s="438">
        <f>_xlfn.XLOOKUP(D$5, Overheads!$C$3:$L$3, Overheads!$C$131:$L$131, 0)</f>
        <v>2940.9303999999997</v>
      </c>
      <c r="E120" s="438">
        <f>_xlfn.XLOOKUP(E$5, Overheads!$C$3:$L$3, Overheads!$C$131:$L$131, 0)</f>
        <v>3039.4958160000001</v>
      </c>
      <c r="F120" s="438">
        <f>_xlfn.XLOOKUP(F$5, Overheads!$C$3:$L$3, Overheads!$C$131:$L$131, 0)</f>
        <v>3143.3432946400003</v>
      </c>
      <c r="G120" s="438">
        <f>_xlfn.XLOOKUP(G$5, Overheads!$C$3:$L$3, Overheads!$C$131:$L$131, 0)</f>
        <v>3242.0892538056</v>
      </c>
      <c r="H120" s="438">
        <f>_xlfn.XLOOKUP(H$5, Overheads!$C$3:$L$3, Overheads!$C$131:$L$131, 0)</f>
        <v>3343.9933130392246</v>
      </c>
      <c r="I120" s="438">
        <f>_xlfn.XLOOKUP(I$5, Overheads!$C$3:$L$3, Overheads!$C$131:$L$131, 0)</f>
        <v>3449.1584020922351</v>
      </c>
      <c r="J120" s="438">
        <f>_xlfn.XLOOKUP(J$5, Overheads!$C$3:$L$3, Overheads!$C$131:$L$131, 0)</f>
        <v>3557.6908732364618</v>
      </c>
      <c r="K120" s="438">
        <f>_xlfn.XLOOKUP(K$5, Overheads!$C$3:$L$3, Overheads!$C$131:$L$131, 0)</f>
        <v>3669.7006174680891</v>
      </c>
      <c r="M120" s="529"/>
      <c r="N120" s="15"/>
    </row>
    <row r="121" spans="2:14" hidden="1" outlineLevel="1">
      <c r="B121" s="437" t="s">
        <v>619</v>
      </c>
      <c r="C121" s="438">
        <f>_xlfn.XLOOKUP(C$5, Overheads!$C$3:$L$3, Overheads!$C$149:$L$149, 0)</f>
        <v>7029.52</v>
      </c>
      <c r="D121" s="438">
        <f>_xlfn.XLOOKUP(D$5, Overheads!$C$3:$L$3, Overheads!$C$149:$L$149, 0)</f>
        <v>7269.8268000000007</v>
      </c>
      <c r="E121" s="438">
        <f>_xlfn.XLOOKUP(E$5, Overheads!$C$3:$L$3, Overheads!$C$149:$L$149, 0)</f>
        <v>7505.1652520000007</v>
      </c>
      <c r="F121" s="438">
        <f>_xlfn.XLOOKUP(F$5, Overheads!$C$3:$L$3, Overheads!$C$149:$L$149, 0)</f>
        <v>7848.4364988400011</v>
      </c>
      <c r="G121" s="438">
        <f>_xlfn.XLOOKUP(G$5, Overheads!$C$3:$L$3, Overheads!$C$149:$L$149, 0)</f>
        <v>8103.4697844356024</v>
      </c>
      <c r="H121" s="438">
        <f>_xlfn.XLOOKUP(H$5, Overheads!$C$3:$L$3, Overheads!$C$149:$L$149, 0)</f>
        <v>8366.9651589442838</v>
      </c>
      <c r="I121" s="438">
        <f>_xlfn.XLOOKUP(I$5, Overheads!$C$3:$L$3, Overheads!$C$149:$L$149, 0)</f>
        <v>8639.2094863016555</v>
      </c>
      <c r="J121" s="438">
        <f>_xlfn.XLOOKUP(J$5, Overheads!$C$3:$L$3, Overheads!$C$149:$L$149, 0)</f>
        <v>8920.4995675651953</v>
      </c>
      <c r="K121" s="438">
        <f>_xlfn.XLOOKUP(K$5, Overheads!$C$3:$L$3, Overheads!$C$149:$L$149, 0)</f>
        <v>9211.1424924991479</v>
      </c>
      <c r="M121" s="529"/>
      <c r="N121" s="15"/>
    </row>
    <row r="122" spans="2:14" collapsed="1">
      <c r="B122" s="19" t="s">
        <v>625</v>
      </c>
      <c r="C122" s="293">
        <f>SUM(C123:C124)</f>
        <v>28252.406291287094</v>
      </c>
      <c r="D122" s="293">
        <f t="shared" ref="D122:K122" si="61">SUM(D123:D124)</f>
        <v>22316.618098914874</v>
      </c>
      <c r="E122" s="293">
        <f t="shared" si="61"/>
        <v>24461.681851642577</v>
      </c>
      <c r="F122" s="293">
        <f t="shared" si="61"/>
        <v>26478.143664405005</v>
      </c>
      <c r="G122" s="293">
        <f t="shared" si="61"/>
        <v>30401.489553806081</v>
      </c>
      <c r="H122" s="293">
        <f t="shared" si="61"/>
        <v>31356.845944055538</v>
      </c>
      <c r="I122" s="293">
        <f t="shared" si="61"/>
        <v>32345.361260829741</v>
      </c>
      <c r="J122" s="293">
        <f t="shared" si="61"/>
        <v>33368.226172042007</v>
      </c>
      <c r="K122" s="293">
        <f t="shared" si="61"/>
        <v>34426.675171253148</v>
      </c>
      <c r="M122" s="529"/>
      <c r="N122" s="15"/>
    </row>
    <row r="123" spans="2:14" hidden="1" outlineLevel="1">
      <c r="B123" s="437" t="s">
        <v>623</v>
      </c>
      <c r="C123" s="438">
        <f>_xlfn.XLOOKUP(C$5, Overheads!$C$3:$L$3, Overheads!$C$59:$L$59, 0)</f>
        <v>26533.436291287093</v>
      </c>
      <c r="D123" s="438">
        <f>_xlfn.XLOOKUP(D$5, Overheads!$C$3:$L$3, Overheads!$C$59:$L$59, 0)</f>
        <v>20445.270298914875</v>
      </c>
      <c r="E123" s="438">
        <f>_xlfn.XLOOKUP(E$5, Overheads!$C$3:$L$3, Overheads!$C$59:$L$59, 0)</f>
        <v>22535.241144642576</v>
      </c>
      <c r="F123" s="438">
        <f>_xlfn.XLOOKUP(F$5, Overheads!$C$3:$L$3, Overheads!$C$59:$L$59, 0)</f>
        <v>24494.836794900006</v>
      </c>
      <c r="G123" s="438">
        <f>_xlfn.XLOOKUP(G$5, Overheads!$C$3:$L$3, Overheads!$C$59:$L$59, 0)</f>
        <v>28359.483067373505</v>
      </c>
      <c r="H123" s="438">
        <f>_xlfn.XLOOKUP(H$5, Overheads!$C$3:$L$3, Overheads!$C$59:$L$59, 0)</f>
        <v>29254.244062500202</v>
      </c>
      <c r="I123" s="438">
        <f>_xlfn.XLOOKUP(I$5, Overheads!$C$3:$L$3, Overheads!$C$59:$L$59, 0)</f>
        <v>30180.203680123119</v>
      </c>
      <c r="J123" s="438">
        <f>_xlfn.XLOOKUP(J$5, Overheads!$C$3:$L$3, Overheads!$C$59:$L$59, 0)</f>
        <v>31138.485780188195</v>
      </c>
      <c r="K123" s="438">
        <f>_xlfn.XLOOKUP(K$5, Overheads!$C$3:$L$3, Overheads!$C$59:$L$59, 0)</f>
        <v>32130.255683105657</v>
      </c>
      <c r="M123" s="529"/>
      <c r="N123" s="15"/>
    </row>
    <row r="124" spans="2:14" hidden="1" outlineLevel="1">
      <c r="B124" s="437" t="s">
        <v>624</v>
      </c>
      <c r="C124" s="438">
        <f>_xlfn.XLOOKUP(C$5, Overheads!$C$3:$L$3, Overheads!$C$77:$L$77, 0)</f>
        <v>1718.9699999999998</v>
      </c>
      <c r="D124" s="438">
        <f>_xlfn.XLOOKUP(D$5, Overheads!$C$3:$L$3, Overheads!$C$77:$L$77, 0)</f>
        <v>1871.3478</v>
      </c>
      <c r="E124" s="438">
        <f>_xlfn.XLOOKUP(E$5, Overheads!$C$3:$L$3, Overheads!$C$77:$L$77, 0)</f>
        <v>1926.4407069999997</v>
      </c>
      <c r="F124" s="438">
        <f>_xlfn.XLOOKUP(F$5, Overheads!$C$3:$L$3, Overheads!$C$77:$L$77, 0)</f>
        <v>1983.3068695050006</v>
      </c>
      <c r="G124" s="438">
        <f>_xlfn.XLOOKUP(G$5, Overheads!$C$3:$L$3, Overheads!$C$77:$L$77, 0)</f>
        <v>2042.0064864325752</v>
      </c>
      <c r="H124" s="438">
        <f>_xlfn.XLOOKUP(H$5, Overheads!$C$3:$L$3, Overheads!$C$77:$L$77, 0)</f>
        <v>2102.6018815553343</v>
      </c>
      <c r="I124" s="438">
        <f>_xlfn.XLOOKUP(I$5, Overheads!$C$3:$L$3, Overheads!$C$77:$L$77, 0)</f>
        <v>2165.1575807066229</v>
      </c>
      <c r="J124" s="438">
        <f>_xlfn.XLOOKUP(J$5, Overheads!$C$3:$L$3, Overheads!$C$77:$L$77, 0)</f>
        <v>2229.7403918538125</v>
      </c>
      <c r="K124" s="438">
        <f>_xlfn.XLOOKUP(K$5, Overheads!$C$3:$L$3, Overheads!$C$77:$L$77, 0)</f>
        <v>2296.4194881474928</v>
      </c>
      <c r="M124" s="529"/>
      <c r="N124" s="15"/>
    </row>
    <row r="125" spans="2:14" ht="15" customHeight="1" collapsed="1" thickBot="1">
      <c r="B125" s="23" t="str">
        <f>$B$48</f>
        <v>Total</v>
      </c>
      <c r="C125" s="24">
        <f>C111+C112+C113+C117+C122</f>
        <v>92421.126686837175</v>
      </c>
      <c r="D125" s="24">
        <f t="shared" ref="D125:K125" si="62">D111+D112+D113+D117+D122</f>
        <v>60065.336951670441</v>
      </c>
      <c r="E125" s="24">
        <f t="shared" si="62"/>
        <v>65622.873169561091</v>
      </c>
      <c r="F125" s="24">
        <f t="shared" si="62"/>
        <v>68993.625350099028</v>
      </c>
      <c r="G125" s="24">
        <f t="shared" si="62"/>
        <v>86633.866274300526</v>
      </c>
      <c r="H125" s="24">
        <f t="shared" si="62"/>
        <v>88707.124959816822</v>
      </c>
      <c r="I125" s="24">
        <f t="shared" si="62"/>
        <v>93438.368422281143</v>
      </c>
      <c r="J125" s="24">
        <f t="shared" si="62"/>
        <v>96078.09793463946</v>
      </c>
      <c r="K125" s="24">
        <f t="shared" si="62"/>
        <v>98675.584853233042</v>
      </c>
      <c r="M125" s="21"/>
      <c r="N125" s="15"/>
    </row>
    <row r="126" spans="2:14" ht="15" customHeight="1">
      <c r="B126" s="176" t="s">
        <v>647</v>
      </c>
      <c r="C126" s="260">
        <f>(C111+C113+C117+C122) / 12</f>
        <v>7286.4272239030988</v>
      </c>
      <c r="D126" s="260">
        <f t="shared" ref="D126:K126" si="63">(D111+D113+D117+D122) / 12</f>
        <v>4577.651412639204</v>
      </c>
      <c r="E126" s="260">
        <f t="shared" si="63"/>
        <v>5027.9456307967585</v>
      </c>
      <c r="F126" s="260">
        <f t="shared" si="63"/>
        <v>5195.622831841586</v>
      </c>
      <c r="G126" s="260">
        <f t="shared" si="63"/>
        <v>6649.0275304383786</v>
      </c>
      <c r="H126" s="260">
        <f t="shared" si="63"/>
        <v>6804.6852477921348</v>
      </c>
      <c r="I126" s="260">
        <f t="shared" si="63"/>
        <v>7181.3282813650503</v>
      </c>
      <c r="J126" s="260">
        <f t="shared" si="63"/>
        <v>7383.1496681134922</v>
      </c>
      <c r="K126" s="260">
        <f t="shared" si="63"/>
        <v>7580.9061565364309</v>
      </c>
      <c r="M126" s="21"/>
      <c r="N126" s="15"/>
    </row>
    <row r="127" spans="2:14" ht="3.75" customHeight="1">
      <c r="C127" s="14"/>
      <c r="D127" s="14"/>
      <c r="E127" s="14"/>
      <c r="F127" s="14"/>
      <c r="G127" s="14"/>
      <c r="H127" s="14"/>
      <c r="I127" s="14"/>
      <c r="J127" s="14"/>
      <c r="K127" s="14"/>
      <c r="M127" s="21"/>
      <c r="N127" s="15"/>
    </row>
    <row r="128" spans="2:14" s="15" customFormat="1">
      <c r="B128" s="28" t="s">
        <v>81</v>
      </c>
      <c r="C128" s="29"/>
      <c r="D128" s="29"/>
      <c r="E128" s="29"/>
      <c r="F128" s="29"/>
      <c r="G128" s="29"/>
      <c r="H128" s="29"/>
      <c r="I128" s="29"/>
      <c r="J128" s="29"/>
      <c r="K128" s="29"/>
      <c r="M128" s="21"/>
    </row>
    <row r="129" spans="2:14">
      <c r="B129" s="19" t="str">
        <f>$B$24</f>
        <v>B2B Global</v>
      </c>
      <c r="C129" s="20">
        <f t="shared" ref="C129:K129" si="64">C83-C111</f>
        <v>-54663.620196274598</v>
      </c>
      <c r="D129" s="20">
        <f t="shared" si="64"/>
        <v>-52356.526595424519</v>
      </c>
      <c r="E129" s="20">
        <f t="shared" si="64"/>
        <v>-33032.282197422821</v>
      </c>
      <c r="F129" s="20">
        <f t="shared" si="64"/>
        <v>29316.728765554839</v>
      </c>
      <c r="G129" s="20">
        <f t="shared" si="64"/>
        <v>144875.3082976994</v>
      </c>
      <c r="H129" s="20">
        <f t="shared" si="64"/>
        <v>153740.4635517163</v>
      </c>
      <c r="I129" s="20">
        <f t="shared" si="64"/>
        <v>166489.99694727673</v>
      </c>
      <c r="J129" s="20">
        <f t="shared" si="64"/>
        <v>168701.10406224898</v>
      </c>
      <c r="K129" s="20">
        <f t="shared" si="64"/>
        <v>169178.33749158614</v>
      </c>
      <c r="M129" s="21"/>
      <c r="N129" s="15"/>
    </row>
    <row r="130" spans="2:14">
      <c r="B130" s="19" t="str">
        <f>$B$30</f>
        <v>SBL (Excl. LGB)</v>
      </c>
      <c r="C130" s="20">
        <f>C89-C112</f>
        <v>4626.8500000000058</v>
      </c>
      <c r="D130" s="20">
        <f t="shared" ref="D130:K130" si="65">D89-D112</f>
        <v>7322.0429999999951</v>
      </c>
      <c r="E130" s="20">
        <f t="shared" si="65"/>
        <v>8585.34951</v>
      </c>
      <c r="F130" s="20">
        <f t="shared" si="65"/>
        <v>8785.0541697000062</v>
      </c>
      <c r="G130" s="20">
        <f t="shared" si="65"/>
        <v>10299.203942679014</v>
      </c>
      <c r="H130" s="20">
        <f t="shared" si="65"/>
        <v>11029.248355805135</v>
      </c>
      <c r="I130" s="20">
        <f t="shared" si="65"/>
        <v>11869.896615479292</v>
      </c>
      <c r="J130" s="20">
        <f t="shared" si="65"/>
        <v>11393.440829768675</v>
      </c>
      <c r="K130" s="20">
        <f t="shared" si="65"/>
        <v>11228.221554661719</v>
      </c>
      <c r="M130" s="21"/>
      <c r="N130" s="15"/>
    </row>
    <row r="131" spans="2:14">
      <c r="B131" s="19" t="str">
        <f>$B$34</f>
        <v>TUC Global</v>
      </c>
      <c r="C131" s="20">
        <f>SUM(C132:C134)</f>
        <v>-16063.943761568507</v>
      </c>
      <c r="D131" s="20">
        <f t="shared" ref="D131:K131" si="66">SUM(D132:D134)</f>
        <v>-665.43422834530611</v>
      </c>
      <c r="E131" s="20">
        <f t="shared" si="66"/>
        <v>86.607025138327003</v>
      </c>
      <c r="F131" s="20">
        <f t="shared" si="66"/>
        <v>0</v>
      </c>
      <c r="G131" s="20">
        <f t="shared" si="66"/>
        <v>0</v>
      </c>
      <c r="H131" s="20">
        <f t="shared" si="66"/>
        <v>0</v>
      </c>
      <c r="I131" s="20">
        <f t="shared" si="66"/>
        <v>0</v>
      </c>
      <c r="J131" s="20">
        <f t="shared" si="66"/>
        <v>0</v>
      </c>
      <c r="K131" s="20">
        <f t="shared" si="66"/>
        <v>0</v>
      </c>
      <c r="M131" s="21"/>
      <c r="N131" s="15"/>
    </row>
    <row r="132" spans="2:14" hidden="1" outlineLevel="1">
      <c r="B132" s="437" t="str">
        <f>$B$35</f>
        <v>TUC</v>
      </c>
      <c r="C132" s="438">
        <f t="shared" ref="C132:K132" si="67">C94-C114</f>
        <v>-16063.943761568507</v>
      </c>
      <c r="D132" s="438">
        <f t="shared" si="67"/>
        <v>-665.43422834530611</v>
      </c>
      <c r="E132" s="438">
        <f t="shared" si="67"/>
        <v>86.607025138327003</v>
      </c>
      <c r="F132" s="438">
        <f t="shared" si="67"/>
        <v>0</v>
      </c>
      <c r="G132" s="438">
        <f t="shared" si="67"/>
        <v>0</v>
      </c>
      <c r="H132" s="438">
        <f t="shared" si="67"/>
        <v>0</v>
      </c>
      <c r="I132" s="438">
        <f t="shared" si="67"/>
        <v>0</v>
      </c>
      <c r="J132" s="438">
        <f t="shared" si="67"/>
        <v>0</v>
      </c>
      <c r="K132" s="438">
        <f t="shared" si="67"/>
        <v>0</v>
      </c>
      <c r="M132" s="21"/>
      <c r="N132" s="15"/>
    </row>
    <row r="133" spans="2:14" hidden="1" outlineLevel="1">
      <c r="B133" s="437" t="str">
        <f>$B$36</f>
        <v>TUC International (Excl. JV)</v>
      </c>
      <c r="C133" s="438">
        <f t="shared" ref="C133:K133" si="68">C95-C115</f>
        <v>0</v>
      </c>
      <c r="D133" s="438">
        <f t="shared" si="68"/>
        <v>0</v>
      </c>
      <c r="E133" s="438">
        <f t="shared" si="68"/>
        <v>0</v>
      </c>
      <c r="F133" s="438">
        <f t="shared" si="68"/>
        <v>0</v>
      </c>
      <c r="G133" s="438">
        <f t="shared" si="68"/>
        <v>0</v>
      </c>
      <c r="H133" s="438">
        <f t="shared" si="68"/>
        <v>0</v>
      </c>
      <c r="I133" s="438">
        <f t="shared" si="68"/>
        <v>0</v>
      </c>
      <c r="J133" s="438">
        <f t="shared" si="68"/>
        <v>0</v>
      </c>
      <c r="K133" s="438">
        <f t="shared" si="68"/>
        <v>0</v>
      </c>
      <c r="M133" s="21"/>
      <c r="N133" s="15"/>
    </row>
    <row r="134" spans="2:14" hidden="1" outlineLevel="1">
      <c r="B134" s="437" t="str">
        <f>$B$37</f>
        <v>TUC JV</v>
      </c>
      <c r="C134" s="438">
        <f t="shared" ref="C134:K134" si="69">C96-C116</f>
        <v>0</v>
      </c>
      <c r="D134" s="438">
        <f t="shared" si="69"/>
        <v>0</v>
      </c>
      <c r="E134" s="438">
        <f t="shared" si="69"/>
        <v>0</v>
      </c>
      <c r="F134" s="438">
        <f t="shared" si="69"/>
        <v>0</v>
      </c>
      <c r="G134" s="438">
        <f t="shared" si="69"/>
        <v>0</v>
      </c>
      <c r="H134" s="438">
        <f t="shared" si="69"/>
        <v>0</v>
      </c>
      <c r="I134" s="438">
        <f t="shared" si="69"/>
        <v>0</v>
      </c>
      <c r="J134" s="438">
        <f t="shared" si="69"/>
        <v>0</v>
      </c>
      <c r="K134" s="438">
        <f t="shared" si="69"/>
        <v>0</v>
      </c>
      <c r="M134" s="21"/>
      <c r="N134" s="15"/>
    </row>
    <row r="135" spans="2:14" collapsed="1">
      <c r="B135" s="19" t="str">
        <f>$B$38</f>
        <v>nth Bio</v>
      </c>
      <c r="C135" s="20">
        <f t="shared" ref="C135:K135" si="70">C97-C117</f>
        <v>-24038.008831048737</v>
      </c>
      <c r="D135" s="20">
        <f t="shared" si="70"/>
        <v>-9707.0062576008568</v>
      </c>
      <c r="E135" s="20">
        <f t="shared" si="70"/>
        <v>-2325.5519396583404</v>
      </c>
      <c r="F135" s="20">
        <f t="shared" si="70"/>
        <v>16257.079272565717</v>
      </c>
      <c r="G135" s="20">
        <f t="shared" si="70"/>
        <v>12224.421388803028</v>
      </c>
      <c r="H135" s="20">
        <f t="shared" si="70"/>
        <v>13789.825420152723</v>
      </c>
      <c r="I135" s="20">
        <f t="shared" si="70"/>
        <v>15255.505063745259</v>
      </c>
      <c r="J135" s="20">
        <f t="shared" si="70"/>
        <v>17173.32839690282</v>
      </c>
      <c r="K135" s="20">
        <f t="shared" si="70"/>
        <v>19059.658733840864</v>
      </c>
      <c r="M135" s="21"/>
      <c r="N135" s="15"/>
    </row>
    <row r="136" spans="2:14">
      <c r="B136" s="19" t="str">
        <f>$B$122</f>
        <v>Corporate Services</v>
      </c>
      <c r="C136" s="20">
        <f>-C122</f>
        <v>-28252.406291287094</v>
      </c>
      <c r="D136" s="20">
        <f t="shared" ref="D136:K136" si="71">-D122</f>
        <v>-22316.618098914874</v>
      </c>
      <c r="E136" s="20">
        <f t="shared" si="71"/>
        <v>-24461.681851642577</v>
      </c>
      <c r="F136" s="20">
        <f t="shared" si="71"/>
        <v>-26478.143664405005</v>
      </c>
      <c r="G136" s="20">
        <f t="shared" si="71"/>
        <v>-30401.489553806081</v>
      </c>
      <c r="H136" s="20">
        <f t="shared" si="71"/>
        <v>-31356.845944055538</v>
      </c>
      <c r="I136" s="20">
        <f t="shared" si="71"/>
        <v>-32345.361260829741</v>
      </c>
      <c r="J136" s="20">
        <f t="shared" si="71"/>
        <v>-33368.226172042007</v>
      </c>
      <c r="K136" s="20">
        <f t="shared" si="71"/>
        <v>-34426.675171253148</v>
      </c>
      <c r="M136" s="21"/>
      <c r="N136" s="15"/>
    </row>
    <row r="137" spans="2:14" ht="15" customHeight="1" thickBot="1">
      <c r="B137" s="23" t="str">
        <f>$B$48</f>
        <v>Total</v>
      </c>
      <c r="C137" s="24">
        <f>C129+C130+C131+C135+C136</f>
        <v>-118391.12908017891</v>
      </c>
      <c r="D137" s="24">
        <f t="shared" ref="D137:K137" si="72">D129+D130+D131+D135+D136</f>
        <v>-77723.542180285556</v>
      </c>
      <c r="E137" s="294">
        <f t="shared" si="72"/>
        <v>-51147.559453585411</v>
      </c>
      <c r="F137" s="294">
        <f t="shared" si="72"/>
        <v>27880.718543415554</v>
      </c>
      <c r="G137" s="294">
        <f t="shared" si="72"/>
        <v>136997.44407537536</v>
      </c>
      <c r="H137" s="294">
        <f t="shared" si="72"/>
        <v>147202.69138361863</v>
      </c>
      <c r="I137" s="294">
        <f t="shared" si="72"/>
        <v>161270.03736567154</v>
      </c>
      <c r="J137" s="294">
        <f t="shared" si="72"/>
        <v>163899.64711687848</v>
      </c>
      <c r="K137" s="294">
        <f t="shared" si="72"/>
        <v>165039.54260883556</v>
      </c>
      <c r="M137" s="21"/>
      <c r="N137" s="15"/>
    </row>
    <row r="138" spans="2:14" ht="15" customHeight="1">
      <c r="B138" s="176"/>
      <c r="C138" s="260">
        <f>+C137/1000</f>
        <v>-118.39112908017891</v>
      </c>
      <c r="D138" s="260">
        <f t="shared" ref="D138:K138" si="73">+D137/1000</f>
        <v>-77.723542180285563</v>
      </c>
      <c r="E138" s="260">
        <f t="shared" si="73"/>
        <v>-51.147559453585409</v>
      </c>
      <c r="F138" s="260">
        <f t="shared" si="73"/>
        <v>27.880718543415554</v>
      </c>
      <c r="G138" s="260">
        <f t="shared" si="73"/>
        <v>136.99744407537537</v>
      </c>
      <c r="H138" s="260">
        <f t="shared" si="73"/>
        <v>147.20269138361863</v>
      </c>
      <c r="I138" s="260">
        <f t="shared" si="73"/>
        <v>161.27003736567153</v>
      </c>
      <c r="J138" s="260">
        <f t="shared" si="73"/>
        <v>163.89964711687847</v>
      </c>
      <c r="K138" s="260">
        <f t="shared" si="73"/>
        <v>165.03954260883555</v>
      </c>
      <c r="N138" s="15"/>
    </row>
    <row r="139" spans="2:14" ht="15" customHeight="1">
      <c r="B139" s="176"/>
      <c r="C139" s="262">
        <f>+C137/C48</f>
        <v>-1.6769361587307223</v>
      </c>
      <c r="D139" s="262">
        <f t="shared" ref="D139:K139" si="74">+D137/D48</f>
        <v>-0.85351262697393049</v>
      </c>
      <c r="E139" s="262">
        <f t="shared" si="74"/>
        <v>-0.35453141374554803</v>
      </c>
      <c r="F139" s="262">
        <f t="shared" si="74"/>
        <v>8.5687954440592184E-2</v>
      </c>
      <c r="G139" s="262">
        <f t="shared" si="74"/>
        <v>0.24917082664463674</v>
      </c>
      <c r="H139" s="262">
        <f t="shared" si="74"/>
        <v>0.24249247521072634</v>
      </c>
      <c r="I139" s="262">
        <f t="shared" si="74"/>
        <v>0.24838543229132332</v>
      </c>
      <c r="J139" s="262">
        <f t="shared" si="74"/>
        <v>0.24552838496047491</v>
      </c>
      <c r="K139" s="262">
        <f t="shared" si="74"/>
        <v>0.24481203477470348</v>
      </c>
      <c r="N139" s="15"/>
    </row>
    <row r="140" spans="2:14" ht="3.75" customHeight="1">
      <c r="N140" s="15"/>
    </row>
    <row r="141" spans="2:14" s="15" customFormat="1">
      <c r="B141" s="28" t="s">
        <v>260</v>
      </c>
      <c r="C141" s="29"/>
      <c r="D141" s="29"/>
      <c r="E141" s="29"/>
      <c r="F141" s="29"/>
      <c r="G141" s="29"/>
      <c r="H141" s="29"/>
      <c r="I141" s="29"/>
      <c r="J141" s="29"/>
      <c r="K141" s="29"/>
      <c r="M141" s="21"/>
    </row>
    <row r="142" spans="2:14">
      <c r="B142" s="19" t="str">
        <f>$B$24</f>
        <v>B2B Global</v>
      </c>
      <c r="C142" s="25" t="str">
        <f t="shared" ref="C142:K142" si="75">IF(C129&lt;= 0, "",C129/C$24)</f>
        <v/>
      </c>
      <c r="D142" s="25" t="str">
        <f t="shared" si="75"/>
        <v/>
      </c>
      <c r="E142" s="25" t="str">
        <f t="shared" si="75"/>
        <v/>
      </c>
      <c r="F142" s="25">
        <f t="shared" si="75"/>
        <v>0.13388868335055742</v>
      </c>
      <c r="G142" s="25">
        <f t="shared" si="75"/>
        <v>0.332344137568305</v>
      </c>
      <c r="H142" s="25">
        <f t="shared" si="75"/>
        <v>0.31539518363198427</v>
      </c>
      <c r="I142" s="25">
        <f t="shared" si="75"/>
        <v>0.31786436530369766</v>
      </c>
      <c r="J142" s="25">
        <f t="shared" si="75"/>
        <v>0.31276084956591388</v>
      </c>
      <c r="K142" s="25">
        <f t="shared" si="75"/>
        <v>0.31189112951236075</v>
      </c>
      <c r="M142" s="21"/>
      <c r="N142" s="15"/>
    </row>
    <row r="143" spans="2:14">
      <c r="B143" s="19" t="str">
        <f>$B$30</f>
        <v>SBL (Excl. LGB)</v>
      </c>
      <c r="C143" s="25">
        <f>IF(C130&lt;= 0, "",C130/C$30)</f>
        <v>0.10268471419567334</v>
      </c>
      <c r="D143" s="25">
        <f t="shared" ref="D143:K143" si="76">IF(D130&lt;= 0, "",D130/D$30)</f>
        <v>0.13686998026407032</v>
      </c>
      <c r="E143" s="25">
        <f t="shared" si="76"/>
        <v>0.14842517515030892</v>
      </c>
      <c r="F143" s="25">
        <f t="shared" si="76"/>
        <v>0.14032701738524153</v>
      </c>
      <c r="G143" s="25">
        <f t="shared" si="76"/>
        <v>0.15185858310291589</v>
      </c>
      <c r="H143" s="25">
        <f t="shared" si="76"/>
        <v>0.15575193708165244</v>
      </c>
      <c r="I143" s="25">
        <f t="shared" si="76"/>
        <v>0.1602261760372061</v>
      </c>
      <c r="J143" s="25">
        <f t="shared" si="76"/>
        <v>0.1548066923922945</v>
      </c>
      <c r="K143" s="25">
        <f t="shared" si="76"/>
        <v>0.15167165978732483</v>
      </c>
      <c r="M143" s="21"/>
      <c r="N143" s="15"/>
    </row>
    <row r="144" spans="2:14">
      <c r="B144" s="19" t="str">
        <f>$B$34</f>
        <v>TUC Global</v>
      </c>
      <c r="C144" s="25" t="str">
        <f>IF(C131&lt;= 0, "",C131/C$34)</f>
        <v/>
      </c>
      <c r="D144" s="25" t="str">
        <f t="shared" ref="D144:K144" si="77">IF(D131&lt;= 0, "",D131/D$34)</f>
        <v/>
      </c>
      <c r="E144" s="25">
        <f t="shared" si="77"/>
        <v>5.1266059529822411E-2</v>
      </c>
      <c r="F144" s="25" t="str">
        <f t="shared" si="77"/>
        <v/>
      </c>
      <c r="G144" s="25" t="str">
        <f t="shared" si="77"/>
        <v/>
      </c>
      <c r="H144" s="25" t="str">
        <f t="shared" si="77"/>
        <v/>
      </c>
      <c r="I144" s="25" t="str">
        <f t="shared" si="77"/>
        <v/>
      </c>
      <c r="J144" s="25" t="str">
        <f t="shared" si="77"/>
        <v/>
      </c>
      <c r="K144" s="25" t="str">
        <f t="shared" si="77"/>
        <v/>
      </c>
      <c r="M144" s="21"/>
      <c r="N144" s="15"/>
    </row>
    <row r="145" spans="2:14" hidden="1" outlineLevel="1">
      <c r="B145" s="437" t="str">
        <f>$B$35</f>
        <v>TUC</v>
      </c>
      <c r="C145" s="492" t="str">
        <f>IF(C132&lt;= 0, "",C132/C$35)</f>
        <v/>
      </c>
      <c r="D145" s="492" t="str">
        <f t="shared" ref="D145:K145" si="78">IF(D132&lt;= 0, "",D132/D$35)</f>
        <v/>
      </c>
      <c r="E145" s="492">
        <f t="shared" si="78"/>
        <v>5.1266059529822411E-2</v>
      </c>
      <c r="F145" s="492" t="str">
        <f t="shared" si="78"/>
        <v/>
      </c>
      <c r="G145" s="492" t="str">
        <f t="shared" si="78"/>
        <v/>
      </c>
      <c r="H145" s="492" t="str">
        <f t="shared" si="78"/>
        <v/>
      </c>
      <c r="I145" s="492" t="str">
        <f t="shared" si="78"/>
        <v/>
      </c>
      <c r="J145" s="492" t="str">
        <f t="shared" si="78"/>
        <v/>
      </c>
      <c r="K145" s="492" t="str">
        <f t="shared" si="78"/>
        <v/>
      </c>
      <c r="M145" s="21"/>
      <c r="N145" s="15"/>
    </row>
    <row r="146" spans="2:14" hidden="1" outlineLevel="1">
      <c r="B146" s="437" t="str">
        <f>$B$36</f>
        <v>TUC International (Excl. JV)</v>
      </c>
      <c r="C146" s="492" t="str">
        <f t="shared" ref="C146:K146" si="79">IF(C133&lt;= 0, "",C133/C$36)</f>
        <v/>
      </c>
      <c r="D146" s="492" t="str">
        <f t="shared" si="79"/>
        <v/>
      </c>
      <c r="E146" s="492" t="str">
        <f t="shared" si="79"/>
        <v/>
      </c>
      <c r="F146" s="492" t="str">
        <f t="shared" si="79"/>
        <v/>
      </c>
      <c r="G146" s="492" t="str">
        <f t="shared" si="79"/>
        <v/>
      </c>
      <c r="H146" s="492" t="str">
        <f t="shared" si="79"/>
        <v/>
      </c>
      <c r="I146" s="492" t="str">
        <f t="shared" si="79"/>
        <v/>
      </c>
      <c r="J146" s="492" t="str">
        <f t="shared" si="79"/>
        <v/>
      </c>
      <c r="K146" s="492" t="str">
        <f t="shared" si="79"/>
        <v/>
      </c>
      <c r="M146" s="21"/>
      <c r="N146" s="15"/>
    </row>
    <row r="147" spans="2:14" hidden="1" outlineLevel="1">
      <c r="B147" s="437" t="str">
        <f>$B$37</f>
        <v>TUC JV</v>
      </c>
      <c r="C147" s="492" t="str">
        <f t="shared" ref="C147:K147" si="80">IF(C134&lt;= 0, "",C134/C$37)</f>
        <v/>
      </c>
      <c r="D147" s="492" t="str">
        <f t="shared" si="80"/>
        <v/>
      </c>
      <c r="E147" s="492" t="str">
        <f t="shared" si="80"/>
        <v/>
      </c>
      <c r="F147" s="492" t="str">
        <f t="shared" si="80"/>
        <v/>
      </c>
      <c r="G147" s="492" t="str">
        <f t="shared" si="80"/>
        <v/>
      </c>
      <c r="H147" s="492" t="str">
        <f t="shared" si="80"/>
        <v/>
      </c>
      <c r="I147" s="492" t="str">
        <f t="shared" si="80"/>
        <v/>
      </c>
      <c r="J147" s="492" t="str">
        <f t="shared" si="80"/>
        <v/>
      </c>
      <c r="K147" s="492" t="str">
        <f t="shared" si="80"/>
        <v/>
      </c>
      <c r="M147" s="21"/>
      <c r="N147" s="15"/>
    </row>
    <row r="148" spans="2:14" collapsed="1">
      <c r="B148" s="19" t="str">
        <f>$B$38</f>
        <v>nth Bio</v>
      </c>
      <c r="C148" s="25" t="str">
        <f t="shared" ref="C148:K148" si="81">IF(C135&lt;= 0, "",C135/C$38)</f>
        <v/>
      </c>
      <c r="D148" s="25" t="str">
        <f t="shared" si="81"/>
        <v/>
      </c>
      <c r="E148" s="25" t="str">
        <f t="shared" si="81"/>
        <v/>
      </c>
      <c r="F148" s="25">
        <f t="shared" si="81"/>
        <v>0.37110353794298234</v>
      </c>
      <c r="G148" s="25">
        <f t="shared" si="81"/>
        <v>0.26532858306062534</v>
      </c>
      <c r="H148" s="25">
        <f t="shared" si="81"/>
        <v>0.28272958642835788</v>
      </c>
      <c r="I148" s="25">
        <f t="shared" si="81"/>
        <v>0.29671688189320489</v>
      </c>
      <c r="J148" s="25">
        <f t="shared" si="81"/>
        <v>0.31483346806135648</v>
      </c>
      <c r="K148" s="25">
        <f t="shared" si="81"/>
        <v>0.33037682457665551</v>
      </c>
      <c r="M148" s="21"/>
      <c r="N148" s="15"/>
    </row>
    <row r="149" spans="2:14" ht="14.25" thickBot="1">
      <c r="B149" s="493" t="str">
        <f>$B$122</f>
        <v>Corporate Services</v>
      </c>
      <c r="C149" s="494"/>
      <c r="D149" s="494"/>
      <c r="E149" s="494"/>
      <c r="F149" s="494"/>
      <c r="G149" s="494"/>
      <c r="H149" s="494"/>
      <c r="I149" s="494"/>
      <c r="J149" s="494"/>
      <c r="K149" s="494"/>
      <c r="M149" s="21"/>
      <c r="N149" s="15"/>
    </row>
    <row r="150" spans="2:14" ht="3.75" customHeight="1">
      <c r="N150" s="15"/>
    </row>
    <row r="151" spans="2:14" s="15" customFormat="1">
      <c r="B151" s="431" t="s">
        <v>82</v>
      </c>
      <c r="C151" s="441"/>
      <c r="D151" s="441"/>
      <c r="E151" s="441"/>
      <c r="F151" s="441"/>
      <c r="G151" s="441"/>
      <c r="H151" s="441"/>
      <c r="I151" s="441"/>
      <c r="J151" s="441"/>
      <c r="K151" s="441"/>
      <c r="M151" s="21"/>
    </row>
    <row r="152" spans="2:14">
      <c r="B152" s="19" t="str">
        <f>$B$24</f>
        <v>B2B Global</v>
      </c>
      <c r="C152" s="20">
        <f>SUMIF('CAPEX &amp; Financing'!$C$47:$C$62, $B152,'CAPEX &amp; Financing'!G$47:G$62) * 1000</f>
        <v>12733.333333333334</v>
      </c>
      <c r="D152" s="20">
        <f>SUMIF('CAPEX &amp; Financing'!$C$47:$C$62, $B152,'CAPEX &amp; Financing'!H$47:H$62) * 1000</f>
        <v>20733.333333333336</v>
      </c>
      <c r="E152" s="20">
        <f>SUMIF('CAPEX &amp; Financing'!$C$47:$C$62, $B152,'CAPEX &amp; Financing'!I$47:I$62) * 1000</f>
        <v>49381.338049999998</v>
      </c>
      <c r="F152" s="20">
        <f>SUMIF('CAPEX &amp; Financing'!$C$47:$C$62, $B152,'CAPEX &amp; Financing'!J$47:J$62) * 1000</f>
        <v>82562.268850499997</v>
      </c>
      <c r="G152" s="20">
        <f>SUMIF('CAPEX &amp; Financing'!$C$47:$C$62, $B152,'CAPEX &amp; Financing'!K$47:K$62) * 1000</f>
        <v>94949.931405199997</v>
      </c>
      <c r="H152" s="20">
        <f>SUMIF('CAPEX &amp; Financing'!$C$47:$C$62, $B152,'CAPEX &amp; Financing'!L$47:L$62) * 1000</f>
        <v>106029.26062656667</v>
      </c>
      <c r="I152" s="20">
        <f>SUMIF('CAPEX &amp; Financing'!$C$47:$C$62, $B152,'CAPEX &amp; Financing'!M$47:M$62) * 1000</f>
        <v>114608.58984793334</v>
      </c>
      <c r="J152" s="20">
        <f>SUMIF('CAPEX &amp; Financing'!$C$47:$C$62, $B152,'CAPEX &amp; Financing'!N$47:N$62) * 1000</f>
        <v>123187.91906930001</v>
      </c>
      <c r="K152" s="20">
        <f>SUMIF('CAPEX &amp; Financing'!$C$47:$C$62, $B152,'CAPEX &amp; Financing'!O$47:O$62) * 1000</f>
        <v>131767.24829066667</v>
      </c>
      <c r="M152" s="21"/>
      <c r="N152" s="15"/>
    </row>
    <row r="153" spans="2:14">
      <c r="B153" s="19" t="str">
        <f>$B$30</f>
        <v>SBL (Excl. LGB)</v>
      </c>
      <c r="C153" s="20">
        <f>SUMIF('CAPEX &amp; Financing'!$C$47:$C$62, $B153,'CAPEX &amp; Financing'!G$47:G$62) * 1000</f>
        <v>0</v>
      </c>
      <c r="D153" s="20">
        <f>SUMIF('CAPEX &amp; Financing'!$C$47:$C$62, $B153,'CAPEX &amp; Financing'!H$47:H$62) * 1000</f>
        <v>0</v>
      </c>
      <c r="E153" s="20">
        <f>SUMIF('CAPEX &amp; Financing'!$C$47:$C$62, $B153,'CAPEX &amp; Financing'!I$47:I$62) * 1000</f>
        <v>0</v>
      </c>
      <c r="F153" s="20">
        <f>SUMIF('CAPEX &amp; Financing'!$C$47:$C$62, $B153,'CAPEX &amp; Financing'!J$47:J$62) * 1000</f>
        <v>0</v>
      </c>
      <c r="G153" s="20">
        <f>SUMIF('CAPEX &amp; Financing'!$C$47:$C$62, $B153,'CAPEX &amp; Financing'!K$47:K$62) * 1000</f>
        <v>0</v>
      </c>
      <c r="H153" s="20">
        <f>SUMIF('CAPEX &amp; Financing'!$C$47:$C$62, $B153,'CAPEX &amp; Financing'!L$47:L$62) * 1000</f>
        <v>0</v>
      </c>
      <c r="I153" s="20">
        <f>SUMIF('CAPEX &amp; Financing'!$C$47:$C$62, $B153,'CAPEX &amp; Financing'!M$47:M$62) * 1000</f>
        <v>0</v>
      </c>
      <c r="J153" s="20">
        <f>SUMIF('CAPEX &amp; Financing'!$C$47:$C$62, $B153,'CAPEX &amp; Financing'!N$47:N$62) * 1000</f>
        <v>0</v>
      </c>
      <c r="K153" s="20">
        <f>SUMIF('CAPEX &amp; Financing'!$C$47:$C$62, $B153,'CAPEX &amp; Financing'!O$47:O$62) * 1000</f>
        <v>0</v>
      </c>
      <c r="M153" s="21"/>
      <c r="N153" s="15"/>
    </row>
    <row r="154" spans="2:14">
      <c r="B154" s="19" t="str">
        <f>$B$34</f>
        <v>TUC Global</v>
      </c>
      <c r="C154" s="20">
        <f>SUMIF('CAPEX &amp; Financing'!$C$47:$C$62, $B154,'CAPEX &amp; Financing'!G$47:G$62) * 1000</f>
        <v>0</v>
      </c>
      <c r="D154" s="20">
        <f>SUMIF('CAPEX &amp; Financing'!$C$47:$C$62, $B154,'CAPEX &amp; Financing'!H$47:H$62) * 1000</f>
        <v>0</v>
      </c>
      <c r="E154" s="20">
        <f>SUMIF('CAPEX &amp; Financing'!$C$47:$C$62, $B154,'CAPEX &amp; Financing'!I$47:I$62) * 1000</f>
        <v>0</v>
      </c>
      <c r="F154" s="20">
        <f>SUMIF('CAPEX &amp; Financing'!$C$47:$C$62, $B154,'CAPEX &amp; Financing'!J$47:J$62) * 1000</f>
        <v>0</v>
      </c>
      <c r="G154" s="20">
        <f>SUMIF('CAPEX &amp; Financing'!$C$47:$C$62, $B154,'CAPEX &amp; Financing'!K$47:K$62) * 1000</f>
        <v>0</v>
      </c>
      <c r="H154" s="20">
        <f>SUMIF('CAPEX &amp; Financing'!$C$47:$C$62, $B154,'CAPEX &amp; Financing'!L$47:L$62) * 1000</f>
        <v>0</v>
      </c>
      <c r="I154" s="20">
        <f>SUMIF('CAPEX &amp; Financing'!$C$47:$C$62, $B154,'CAPEX &amp; Financing'!M$47:M$62) * 1000</f>
        <v>0</v>
      </c>
      <c r="J154" s="20">
        <f>SUMIF('CAPEX &amp; Financing'!$C$47:$C$62, $B154,'CAPEX &amp; Financing'!N$47:N$62) * 1000</f>
        <v>0</v>
      </c>
      <c r="K154" s="20">
        <f>SUMIF('CAPEX &amp; Financing'!$C$47:$C$62, $B154,'CAPEX &amp; Financing'!O$47:O$62) * 1000</f>
        <v>0</v>
      </c>
      <c r="M154" s="21"/>
      <c r="N154" s="15"/>
    </row>
    <row r="155" spans="2:14" hidden="1" outlineLevel="1">
      <c r="B155" s="437" t="str">
        <f>$B$35</f>
        <v>TUC</v>
      </c>
      <c r="C155" s="438">
        <f>SUMIF('CAPEX &amp; Financing'!$C$47:$C$62, $B155,'CAPEX &amp; Financing'!G$47:G$62) * 1000</f>
        <v>0</v>
      </c>
      <c r="D155" s="438">
        <f>SUMIF('CAPEX &amp; Financing'!$C$47:$C$62, $B155,'CAPEX &amp; Financing'!H$47:H$62) * 1000</f>
        <v>0</v>
      </c>
      <c r="E155" s="438">
        <f>SUMIF('CAPEX &amp; Financing'!$C$47:$C$62, $B155,'CAPEX &amp; Financing'!I$47:I$62) * 1000</f>
        <v>0</v>
      </c>
      <c r="F155" s="438">
        <f>SUMIF('CAPEX &amp; Financing'!$C$47:$C$62, $B155,'CAPEX &amp; Financing'!J$47:J$62) * 1000</f>
        <v>0</v>
      </c>
      <c r="G155" s="438">
        <f>SUMIF('CAPEX &amp; Financing'!$C$47:$C$62, $B155,'CAPEX &amp; Financing'!K$47:K$62) * 1000</f>
        <v>0</v>
      </c>
      <c r="H155" s="438">
        <f>SUMIF('CAPEX &amp; Financing'!$C$47:$C$62, $B155,'CAPEX &amp; Financing'!L$47:L$62) * 1000</f>
        <v>0</v>
      </c>
      <c r="I155" s="438">
        <f>SUMIF('CAPEX &amp; Financing'!$C$47:$C$62, $B155,'CAPEX &amp; Financing'!M$47:M$62) * 1000</f>
        <v>0</v>
      </c>
      <c r="J155" s="438">
        <f>SUMIF('CAPEX &amp; Financing'!$C$47:$C$62, $B155,'CAPEX &amp; Financing'!N$47:N$62) * 1000</f>
        <v>0</v>
      </c>
      <c r="K155" s="438">
        <f>SUMIF('CAPEX &amp; Financing'!$C$47:$C$62, $B155,'CAPEX &amp; Financing'!O$47:O$62) * 1000</f>
        <v>0</v>
      </c>
      <c r="M155" s="21"/>
      <c r="N155" s="15"/>
    </row>
    <row r="156" spans="2:14" hidden="1" outlineLevel="1">
      <c r="B156" s="437" t="str">
        <f>$B$36</f>
        <v>TUC International (Excl. JV)</v>
      </c>
      <c r="C156" s="438">
        <f>SUMIF('CAPEX &amp; Financing'!$C$47:$C$62, $B156,'CAPEX &amp; Financing'!G$47:G$62) * 1000</f>
        <v>0</v>
      </c>
      <c r="D156" s="438">
        <f>SUMIF('CAPEX &amp; Financing'!$C$47:$C$62, $B156,'CAPEX &amp; Financing'!H$47:H$62) * 1000</f>
        <v>0</v>
      </c>
      <c r="E156" s="438">
        <f>SUMIF('CAPEX &amp; Financing'!$C$47:$C$62, $B156,'CAPEX &amp; Financing'!I$47:I$62) * 1000</f>
        <v>0</v>
      </c>
      <c r="F156" s="438">
        <f>SUMIF('CAPEX &amp; Financing'!$C$47:$C$62, $B156,'CAPEX &amp; Financing'!J$47:J$62) * 1000</f>
        <v>0</v>
      </c>
      <c r="G156" s="438">
        <f>SUMIF('CAPEX &amp; Financing'!$C$47:$C$62, $B156,'CAPEX &amp; Financing'!K$47:K$62) * 1000</f>
        <v>0</v>
      </c>
      <c r="H156" s="438">
        <f>SUMIF('CAPEX &amp; Financing'!$C$47:$C$62, $B156,'CAPEX &amp; Financing'!L$47:L$62) * 1000</f>
        <v>0</v>
      </c>
      <c r="I156" s="438">
        <f>SUMIF('CAPEX &amp; Financing'!$C$47:$C$62, $B156,'CAPEX &amp; Financing'!M$47:M$62) * 1000</f>
        <v>0</v>
      </c>
      <c r="J156" s="438">
        <f>SUMIF('CAPEX &amp; Financing'!$C$47:$C$62, $B156,'CAPEX &amp; Financing'!N$47:N$62) * 1000</f>
        <v>0</v>
      </c>
      <c r="K156" s="438">
        <f>SUMIF('CAPEX &amp; Financing'!$C$47:$C$62, $B156,'CAPEX &amp; Financing'!O$47:O$62) * 1000</f>
        <v>0</v>
      </c>
      <c r="M156" s="21"/>
      <c r="N156" s="15"/>
    </row>
    <row r="157" spans="2:14" hidden="1" outlineLevel="1">
      <c r="B157" s="437" t="str">
        <f>$B$37</f>
        <v>TUC JV</v>
      </c>
      <c r="C157" s="438">
        <f>SUMIF('CAPEX &amp; Financing'!$C$47:$C$62, $B157,'CAPEX &amp; Financing'!G$47:G$62) * 1000</f>
        <v>0</v>
      </c>
      <c r="D157" s="438">
        <f>SUMIF('CAPEX &amp; Financing'!$C$47:$C$62, $B157,'CAPEX &amp; Financing'!H$47:H$62) * 1000</f>
        <v>0</v>
      </c>
      <c r="E157" s="438">
        <f>SUMIF('CAPEX &amp; Financing'!$C$47:$C$62, $B157,'CAPEX &amp; Financing'!I$47:I$62) * 1000</f>
        <v>0</v>
      </c>
      <c r="F157" s="438">
        <f>SUMIF('CAPEX &amp; Financing'!$C$47:$C$62, $B157,'CAPEX &amp; Financing'!J$47:J$62) * 1000</f>
        <v>0</v>
      </c>
      <c r="G157" s="438">
        <f>SUMIF('CAPEX &amp; Financing'!$C$47:$C$62, $B157,'CAPEX &amp; Financing'!K$47:K$62) * 1000</f>
        <v>0</v>
      </c>
      <c r="H157" s="438">
        <f>SUMIF('CAPEX &amp; Financing'!$C$47:$C$62, $B157,'CAPEX &amp; Financing'!L$47:L$62) * 1000</f>
        <v>0</v>
      </c>
      <c r="I157" s="438">
        <f>SUMIF('CAPEX &amp; Financing'!$C$47:$C$62, $B157,'CAPEX &amp; Financing'!M$47:M$62) * 1000</f>
        <v>0</v>
      </c>
      <c r="J157" s="438">
        <f>SUMIF('CAPEX &amp; Financing'!$C$47:$C$62, $B157,'CAPEX &amp; Financing'!N$47:N$62) * 1000</f>
        <v>0</v>
      </c>
      <c r="K157" s="438">
        <f>SUMIF('CAPEX &amp; Financing'!$C$47:$C$62, $B157,'CAPEX &amp; Financing'!O$47:O$62) * 1000</f>
        <v>0</v>
      </c>
      <c r="M157" s="21"/>
      <c r="N157" s="15"/>
    </row>
    <row r="158" spans="2:14" collapsed="1">
      <c r="B158" s="19" t="str">
        <f>$B$38</f>
        <v>nth Bio</v>
      </c>
      <c r="C158" s="20">
        <f>SUMIF('CAPEX &amp; Financing'!$C$47:$C$62, $B158,'CAPEX &amp; Financing'!G$47:G$62) * 1000</f>
        <v>2333.333333333333</v>
      </c>
      <c r="D158" s="20">
        <f>SUMIF('CAPEX &amp; Financing'!$C$47:$C$62, $B158,'CAPEX &amp; Financing'!H$47:H$62) * 1000</f>
        <v>3949.3333333333335</v>
      </c>
      <c r="E158" s="20">
        <f>SUMIF('CAPEX &amp; Financing'!$C$47:$C$62, $B158,'CAPEX &amp; Financing'!I$47:I$62) * 1000</f>
        <v>5299.1333333333332</v>
      </c>
      <c r="F158" s="20">
        <f>SUMIF('CAPEX &amp; Financing'!$C$47:$C$62, $B158,'CAPEX &amp; Financing'!J$47:J$62) * 1000</f>
        <v>6432.833333333333</v>
      </c>
      <c r="G158" s="20">
        <f>SUMIF('CAPEX &amp; Financing'!$C$47:$C$62, $B158,'CAPEX &amp; Financing'!K$47:K$62) * 1000</f>
        <v>6582.8333333333321</v>
      </c>
      <c r="H158" s="20">
        <f>SUMIF('CAPEX &amp; Financing'!$C$47:$C$62, $B158,'CAPEX &amp; Financing'!L$47:L$62) * 1000</f>
        <v>6732.833333333333</v>
      </c>
      <c r="I158" s="20">
        <f>SUMIF('CAPEX &amp; Financing'!$C$47:$C$62, $B158,'CAPEX &amp; Financing'!M$47:M$62) * 1000</f>
        <v>6882.833333333333</v>
      </c>
      <c r="J158" s="20">
        <f>SUMIF('CAPEX &amp; Financing'!$C$47:$C$62, $B158,'CAPEX &amp; Financing'!N$47:N$62) * 1000</f>
        <v>7032.833333333333</v>
      </c>
      <c r="K158" s="20">
        <f>SUMIF('CAPEX &amp; Financing'!$C$47:$C$62, $B158,'CAPEX &amp; Financing'!O$47:O$62) * 1000</f>
        <v>7182.8333333333321</v>
      </c>
      <c r="M158" s="21"/>
      <c r="N158" s="15"/>
    </row>
    <row r="159" spans="2:14">
      <c r="B159" s="19" t="str">
        <f>$B$122</f>
        <v>Corporate Services</v>
      </c>
      <c r="C159" s="20">
        <f>SUMIF('CAPEX &amp; Financing'!$C$47:$C$62, $B159,'CAPEX &amp; Financing'!G$47:G$62) * 1000</f>
        <v>0</v>
      </c>
      <c r="D159" s="20">
        <f>SUMIF('CAPEX &amp; Financing'!$C$47:$C$62, $B159,'CAPEX &amp; Financing'!H$47:H$62) * 1000</f>
        <v>0</v>
      </c>
      <c r="E159" s="20">
        <f>SUMIF('CAPEX &amp; Financing'!$C$47:$C$62, $B159,'CAPEX &amp; Financing'!I$47:I$62) * 1000</f>
        <v>0</v>
      </c>
      <c r="F159" s="20">
        <f>SUMIF('CAPEX &amp; Financing'!$C$47:$C$62, $B159,'CAPEX &amp; Financing'!J$47:J$62) * 1000</f>
        <v>0</v>
      </c>
      <c r="G159" s="20">
        <f>SUMIF('CAPEX &amp; Financing'!$C$47:$C$62, $B159,'CAPEX &amp; Financing'!K$47:K$62) * 1000</f>
        <v>0</v>
      </c>
      <c r="H159" s="20">
        <f>SUMIF('CAPEX &amp; Financing'!$C$47:$C$62, $B159,'CAPEX &amp; Financing'!L$47:L$62) * 1000</f>
        <v>0</v>
      </c>
      <c r="I159" s="20">
        <f>SUMIF('CAPEX &amp; Financing'!$C$47:$C$62, $B159,'CAPEX &amp; Financing'!M$47:M$62) * 1000</f>
        <v>0</v>
      </c>
      <c r="J159" s="20">
        <f>SUMIF('CAPEX &amp; Financing'!$C$47:$C$62, $B159,'CAPEX &amp; Financing'!N$47:N$62) * 1000</f>
        <v>0</v>
      </c>
      <c r="K159" s="20">
        <f>SUMIF('CAPEX &amp; Financing'!$C$47:$C$62, $B159,'CAPEX &amp; Financing'!O$47:O$62) * 1000</f>
        <v>0</v>
      </c>
      <c r="M159" s="21"/>
      <c r="N159" s="15"/>
    </row>
    <row r="160" spans="2:14" ht="15" customHeight="1" thickBot="1">
      <c r="B160" s="23" t="str">
        <f>$B$48</f>
        <v>Total</v>
      </c>
      <c r="C160" s="24">
        <f t="shared" ref="C160:J160" si="82">SUM(C152:C159)</f>
        <v>15066.666666666668</v>
      </c>
      <c r="D160" s="24">
        <f t="shared" si="82"/>
        <v>24682.666666666668</v>
      </c>
      <c r="E160" s="24">
        <f t="shared" si="82"/>
        <v>54680.47138333333</v>
      </c>
      <c r="F160" s="24">
        <f t="shared" si="82"/>
        <v>88995.102183833325</v>
      </c>
      <c r="G160" s="24">
        <f t="shared" si="82"/>
        <v>101532.76473853333</v>
      </c>
      <c r="H160" s="24">
        <f t="shared" si="82"/>
        <v>112762.0939599</v>
      </c>
      <c r="I160" s="24">
        <f t="shared" si="82"/>
        <v>121491.42318126667</v>
      </c>
      <c r="J160" s="24">
        <f t="shared" si="82"/>
        <v>130220.75240263334</v>
      </c>
      <c r="K160" s="24">
        <f t="shared" ref="K160" si="83">SUM(K152:K159)</f>
        <v>138950.08162400001</v>
      </c>
      <c r="M160" s="21"/>
      <c r="N160" s="15"/>
    </row>
    <row r="161" spans="2:14" ht="3.75" customHeight="1">
      <c r="C161" s="14"/>
      <c r="D161" s="14"/>
      <c r="E161" s="14"/>
      <c r="F161" s="14"/>
      <c r="G161" s="14"/>
      <c r="H161" s="14"/>
      <c r="I161" s="14"/>
      <c r="J161" s="14"/>
      <c r="K161" s="14"/>
      <c r="M161" s="21"/>
      <c r="N161" s="15"/>
    </row>
    <row r="162" spans="2:14" s="15" customFormat="1">
      <c r="B162" s="28" t="s">
        <v>83</v>
      </c>
      <c r="C162" s="29"/>
      <c r="D162" s="29"/>
      <c r="E162" s="29"/>
      <c r="F162" s="29"/>
      <c r="G162" s="29"/>
      <c r="H162" s="29"/>
      <c r="I162" s="29"/>
      <c r="J162" s="29"/>
      <c r="K162" s="29"/>
      <c r="M162" s="21"/>
    </row>
    <row r="163" spans="2:14">
      <c r="B163" s="19" t="str">
        <f>$B$24</f>
        <v>B2B Global</v>
      </c>
      <c r="C163" s="20">
        <f>C129-C152</f>
        <v>-67396.953529607927</v>
      </c>
      <c r="D163" s="20">
        <f t="shared" ref="D163:K163" si="84">D129-D152</f>
        <v>-73089.859928757855</v>
      </c>
      <c r="E163" s="20">
        <f t="shared" si="84"/>
        <v>-82413.620247422819</v>
      </c>
      <c r="F163" s="20">
        <f t="shared" si="84"/>
        <v>-53245.540084945154</v>
      </c>
      <c r="G163" s="20">
        <f t="shared" si="84"/>
        <v>49925.376892499407</v>
      </c>
      <c r="H163" s="20">
        <f t="shared" si="84"/>
        <v>47711.202925149628</v>
      </c>
      <c r="I163" s="20">
        <f t="shared" si="84"/>
        <v>51881.407099343385</v>
      </c>
      <c r="J163" s="20">
        <f t="shared" si="84"/>
        <v>45513.184992948969</v>
      </c>
      <c r="K163" s="20">
        <f t="shared" si="84"/>
        <v>37411.089200919465</v>
      </c>
      <c r="M163" s="21"/>
      <c r="N163" s="15"/>
    </row>
    <row r="164" spans="2:14">
      <c r="B164" s="19" t="str">
        <f>$B$30</f>
        <v>SBL (Excl. LGB)</v>
      </c>
      <c r="C164" s="20">
        <f t="shared" ref="C164:K164" si="85">C130-C153</f>
        <v>4626.8500000000058</v>
      </c>
      <c r="D164" s="20">
        <f t="shared" si="85"/>
        <v>7322.0429999999951</v>
      </c>
      <c r="E164" s="20">
        <f t="shared" si="85"/>
        <v>8585.34951</v>
      </c>
      <c r="F164" s="20">
        <f t="shared" si="85"/>
        <v>8785.0541697000062</v>
      </c>
      <c r="G164" s="20">
        <f t="shared" si="85"/>
        <v>10299.203942679014</v>
      </c>
      <c r="H164" s="20">
        <f t="shared" si="85"/>
        <v>11029.248355805135</v>
      </c>
      <c r="I164" s="20">
        <f t="shared" si="85"/>
        <v>11869.896615479292</v>
      </c>
      <c r="J164" s="20">
        <f t="shared" si="85"/>
        <v>11393.440829768675</v>
      </c>
      <c r="K164" s="20">
        <f t="shared" si="85"/>
        <v>11228.221554661719</v>
      </c>
      <c r="M164" s="21"/>
      <c r="N164" s="15"/>
    </row>
    <row r="165" spans="2:14">
      <c r="B165" s="19" t="str">
        <f>$B$34</f>
        <v>TUC Global</v>
      </c>
      <c r="C165" s="20">
        <f t="shared" ref="C165:K165" si="86">C131-C154</f>
        <v>-16063.943761568507</v>
      </c>
      <c r="D165" s="20">
        <f t="shared" si="86"/>
        <v>-665.43422834530611</v>
      </c>
      <c r="E165" s="20">
        <f t="shared" si="86"/>
        <v>86.607025138327003</v>
      </c>
      <c r="F165" s="20">
        <f t="shared" si="86"/>
        <v>0</v>
      </c>
      <c r="G165" s="20">
        <f t="shared" si="86"/>
        <v>0</v>
      </c>
      <c r="H165" s="20">
        <f t="shared" si="86"/>
        <v>0</v>
      </c>
      <c r="I165" s="20">
        <f t="shared" si="86"/>
        <v>0</v>
      </c>
      <c r="J165" s="20">
        <f t="shared" si="86"/>
        <v>0</v>
      </c>
      <c r="K165" s="20">
        <f t="shared" si="86"/>
        <v>0</v>
      </c>
      <c r="M165" s="21"/>
      <c r="N165" s="15"/>
    </row>
    <row r="166" spans="2:14" hidden="1" outlineLevel="1">
      <c r="B166" s="437" t="str">
        <f>$B$35</f>
        <v>TUC</v>
      </c>
      <c r="C166" s="438">
        <f t="shared" ref="C166:K166" si="87">C132-C155</f>
        <v>-16063.943761568507</v>
      </c>
      <c r="D166" s="438">
        <f t="shared" si="87"/>
        <v>-665.43422834530611</v>
      </c>
      <c r="E166" s="438">
        <f t="shared" si="87"/>
        <v>86.607025138327003</v>
      </c>
      <c r="F166" s="438">
        <f t="shared" si="87"/>
        <v>0</v>
      </c>
      <c r="G166" s="438">
        <f t="shared" si="87"/>
        <v>0</v>
      </c>
      <c r="H166" s="438">
        <f t="shared" si="87"/>
        <v>0</v>
      </c>
      <c r="I166" s="438">
        <f t="shared" si="87"/>
        <v>0</v>
      </c>
      <c r="J166" s="438">
        <f t="shared" si="87"/>
        <v>0</v>
      </c>
      <c r="K166" s="438">
        <f t="shared" si="87"/>
        <v>0</v>
      </c>
      <c r="M166" s="21"/>
      <c r="N166" s="15"/>
    </row>
    <row r="167" spans="2:14" hidden="1" outlineLevel="1">
      <c r="B167" s="437" t="str">
        <f>$B$36</f>
        <v>TUC International (Excl. JV)</v>
      </c>
      <c r="C167" s="438">
        <f t="shared" ref="C167:K167" si="88">C133-C156</f>
        <v>0</v>
      </c>
      <c r="D167" s="438">
        <f t="shared" si="88"/>
        <v>0</v>
      </c>
      <c r="E167" s="438">
        <f t="shared" si="88"/>
        <v>0</v>
      </c>
      <c r="F167" s="438">
        <f t="shared" si="88"/>
        <v>0</v>
      </c>
      <c r="G167" s="438">
        <f t="shared" si="88"/>
        <v>0</v>
      </c>
      <c r="H167" s="438">
        <f t="shared" si="88"/>
        <v>0</v>
      </c>
      <c r="I167" s="438">
        <f t="shared" si="88"/>
        <v>0</v>
      </c>
      <c r="J167" s="438">
        <f t="shared" si="88"/>
        <v>0</v>
      </c>
      <c r="K167" s="438">
        <f t="shared" si="88"/>
        <v>0</v>
      </c>
      <c r="M167" s="21"/>
      <c r="N167" s="15"/>
    </row>
    <row r="168" spans="2:14" hidden="1" outlineLevel="1">
      <c r="B168" s="437" t="str">
        <f>$B$37</f>
        <v>TUC JV</v>
      </c>
      <c r="C168" s="438">
        <f t="shared" ref="C168:K168" si="89">C134-C157</f>
        <v>0</v>
      </c>
      <c r="D168" s="438">
        <f t="shared" si="89"/>
        <v>0</v>
      </c>
      <c r="E168" s="438">
        <f t="shared" si="89"/>
        <v>0</v>
      </c>
      <c r="F168" s="438">
        <f t="shared" si="89"/>
        <v>0</v>
      </c>
      <c r="G168" s="438">
        <f t="shared" si="89"/>
        <v>0</v>
      </c>
      <c r="H168" s="438">
        <f t="shared" si="89"/>
        <v>0</v>
      </c>
      <c r="I168" s="438">
        <f t="shared" si="89"/>
        <v>0</v>
      </c>
      <c r="J168" s="438">
        <f t="shared" si="89"/>
        <v>0</v>
      </c>
      <c r="K168" s="438">
        <f t="shared" si="89"/>
        <v>0</v>
      </c>
      <c r="M168" s="21"/>
      <c r="N168" s="15"/>
    </row>
    <row r="169" spans="2:14" collapsed="1">
      <c r="B169" s="19" t="str">
        <f>$B$38</f>
        <v>nth Bio</v>
      </c>
      <c r="C169" s="20">
        <f t="shared" ref="C169:K169" si="90">C135-C158</f>
        <v>-26371.342164382069</v>
      </c>
      <c r="D169" s="20">
        <f t="shared" si="90"/>
        <v>-13656.339590934191</v>
      </c>
      <c r="E169" s="20">
        <f t="shared" si="90"/>
        <v>-7624.6852729916736</v>
      </c>
      <c r="F169" s="20">
        <f t="shared" si="90"/>
        <v>9824.2459392323835</v>
      </c>
      <c r="G169" s="20">
        <f t="shared" si="90"/>
        <v>5641.588055469696</v>
      </c>
      <c r="H169" s="20">
        <f t="shared" si="90"/>
        <v>7056.9920868193904</v>
      </c>
      <c r="I169" s="20">
        <f t="shared" si="90"/>
        <v>8372.6717304119265</v>
      </c>
      <c r="J169" s="20">
        <f t="shared" si="90"/>
        <v>10140.495063569488</v>
      </c>
      <c r="K169" s="20">
        <f t="shared" si="90"/>
        <v>11876.825400507532</v>
      </c>
      <c r="M169" s="21"/>
      <c r="N169" s="15"/>
    </row>
    <row r="170" spans="2:14">
      <c r="B170" s="19" t="str">
        <f>$B$122</f>
        <v>Corporate Services</v>
      </c>
      <c r="C170" s="20">
        <f t="shared" ref="C170:K170" si="91">C136-C159</f>
        <v>-28252.406291287094</v>
      </c>
      <c r="D170" s="20">
        <f t="shared" si="91"/>
        <v>-22316.618098914874</v>
      </c>
      <c r="E170" s="20">
        <f t="shared" si="91"/>
        <v>-24461.681851642577</v>
      </c>
      <c r="F170" s="20">
        <f t="shared" si="91"/>
        <v>-26478.143664405005</v>
      </c>
      <c r="G170" s="20">
        <f t="shared" si="91"/>
        <v>-30401.489553806081</v>
      </c>
      <c r="H170" s="20">
        <f t="shared" si="91"/>
        <v>-31356.845944055538</v>
      </c>
      <c r="I170" s="20">
        <f t="shared" si="91"/>
        <v>-32345.361260829741</v>
      </c>
      <c r="J170" s="20">
        <f t="shared" si="91"/>
        <v>-33368.226172042007</v>
      </c>
      <c r="K170" s="20">
        <f t="shared" si="91"/>
        <v>-34426.675171253148</v>
      </c>
      <c r="M170" s="21"/>
      <c r="N170" s="15"/>
    </row>
    <row r="171" spans="2:14" ht="15" customHeight="1" thickBot="1">
      <c r="B171" s="23" t="str">
        <f>$B$48</f>
        <v>Total</v>
      </c>
      <c r="C171" s="24">
        <f t="shared" ref="C171:K171" si="92">C137-C160</f>
        <v>-133457.79574684557</v>
      </c>
      <c r="D171" s="24">
        <f t="shared" si="92"/>
        <v>-102406.20884695223</v>
      </c>
      <c r="E171" s="24">
        <f t="shared" si="92"/>
        <v>-105828.03083691874</v>
      </c>
      <c r="F171" s="24">
        <f t="shared" si="92"/>
        <v>-61114.383640417771</v>
      </c>
      <c r="G171" s="24">
        <f t="shared" si="92"/>
        <v>35464.679336842033</v>
      </c>
      <c r="H171" s="24">
        <f t="shared" si="92"/>
        <v>34440.597423718631</v>
      </c>
      <c r="I171" s="24">
        <f t="shared" si="92"/>
        <v>39778.614184404869</v>
      </c>
      <c r="J171" s="24">
        <f t="shared" si="92"/>
        <v>33678.894714245136</v>
      </c>
      <c r="K171" s="24">
        <f t="shared" si="92"/>
        <v>26089.460984835547</v>
      </c>
      <c r="M171" s="21"/>
      <c r="N171" s="15"/>
    </row>
    <row r="172" spans="2:14" ht="3.75" customHeight="1">
      <c r="C172" s="14"/>
      <c r="D172" s="14"/>
      <c r="E172" s="14"/>
      <c r="F172" s="14"/>
      <c r="G172" s="14"/>
      <c r="H172" s="14"/>
      <c r="I172" s="14"/>
      <c r="J172" s="14"/>
      <c r="K172" s="14"/>
      <c r="M172" s="21"/>
      <c r="N172" s="15"/>
    </row>
    <row r="173" spans="2:14" s="15" customFormat="1">
      <c r="B173" s="431" t="s">
        <v>84</v>
      </c>
      <c r="C173" s="441"/>
      <c r="D173" s="441"/>
      <c r="E173" s="441"/>
      <c r="F173" s="441"/>
      <c r="G173" s="441"/>
      <c r="H173" s="441"/>
      <c r="I173" s="441"/>
      <c r="J173" s="441"/>
      <c r="K173" s="441"/>
      <c r="M173" s="21"/>
    </row>
    <row r="174" spans="2:14">
      <c r="B174" s="19" t="str">
        <f>$B$24</f>
        <v>B2B Global</v>
      </c>
      <c r="C174" s="20">
        <f>('CAPEX &amp; Financing'!G$176  + 'CAPEX &amp; Financing'!G$200 + 'CAPEX &amp; Financing'!G$209 + 'CAPEX &amp; Financing'!G$217)* 1000</f>
        <v>12953.733760121089</v>
      </c>
      <c r="D174" s="20">
        <f>('CAPEX &amp; Financing'!H$176  + 'CAPEX &amp; Financing'!H$200 + 'CAPEX &amp; Financing'!H$209 + 'CAPEX &amp; Financing'!H$217)* 1000</f>
        <v>19113.353831736451</v>
      </c>
      <c r="E174" s="20">
        <f>('CAPEX &amp; Financing'!I$176  + 'CAPEX &amp; Financing'!I$200 + 'CAPEX &amp; Financing'!I$209 + 'CAPEX &amp; Financing'!I$217)* 1000</f>
        <v>25971.591796843248</v>
      </c>
      <c r="F174" s="20">
        <f>('CAPEX &amp; Financing'!J$176  + 'CAPEX &amp; Financing'!J$200 + 'CAPEX &amp; Financing'!J$209 + 'CAPEX &amp; Financing'!J$217)* 1000</f>
        <v>29609.880368052436</v>
      </c>
      <c r="G174" s="20">
        <f>('CAPEX &amp; Financing'!K$176  + 'CAPEX &amp; Financing'!K$200 + 'CAPEX &amp; Financing'!K$209 + 'CAPEX &amp; Financing'!K$217)* 1000</f>
        <v>42968.663778700757</v>
      </c>
      <c r="H174" s="20">
        <f>('CAPEX &amp; Financing'!L$176  + 'CAPEX &amp; Financing'!L$200 + 'CAPEX &amp; Financing'!L$209 + 'CAPEX &amp; Financing'!L$217)* 1000</f>
        <v>39972.073999595035</v>
      </c>
      <c r="I174" s="20">
        <f>('CAPEX &amp; Financing'!M$176  + 'CAPEX &amp; Financing'!M$200 + 'CAPEX &amp; Financing'!M$209 + 'CAPEX &amp; Financing'!M$217)* 1000</f>
        <v>35160.521184287041</v>
      </c>
      <c r="J174" s="20">
        <f>('CAPEX &amp; Financing'!N$176  + 'CAPEX &amp; Financing'!N$200 + 'CAPEX &amp; Financing'!N$209 + 'CAPEX &amp; Financing'!N$217)* 1000</f>
        <v>25995.798208613243</v>
      </c>
      <c r="K174" s="20">
        <f>('CAPEX &amp; Financing'!O$176  + 'CAPEX &amp; Financing'!O$200 + 'CAPEX &amp; Financing'!O$209 + 'CAPEX &amp; Financing'!O$217)* 1000</f>
        <v>23778.389782141858</v>
      </c>
      <c r="M174" s="21"/>
      <c r="N174" s="15"/>
    </row>
    <row r="175" spans="2:14">
      <c r="B175" s="19" t="str">
        <f>$B$30</f>
        <v>SBL (Excl. LGB)</v>
      </c>
      <c r="C175" s="20"/>
      <c r="D175" s="20"/>
      <c r="E175" s="20"/>
      <c r="F175" s="20"/>
      <c r="G175" s="20"/>
      <c r="H175" s="20"/>
      <c r="I175" s="20"/>
      <c r="J175" s="20"/>
      <c r="K175" s="20"/>
      <c r="M175" s="21"/>
      <c r="N175" s="15"/>
    </row>
    <row r="176" spans="2:14">
      <c r="B176" s="19" t="str">
        <f>$B$34</f>
        <v>TUC Global</v>
      </c>
      <c r="C176" s="20"/>
      <c r="D176" s="20"/>
      <c r="E176" s="20"/>
      <c r="F176" s="20"/>
      <c r="G176" s="20"/>
      <c r="H176" s="20"/>
      <c r="I176" s="20"/>
      <c r="J176" s="20"/>
      <c r="K176" s="20"/>
      <c r="M176" s="21"/>
      <c r="N176" s="15"/>
    </row>
    <row r="177" spans="2:14" hidden="1" outlineLevel="1">
      <c r="B177" s="437" t="str">
        <f>$B$35</f>
        <v>TUC</v>
      </c>
      <c r="C177" s="438"/>
      <c r="D177" s="438"/>
      <c r="E177" s="438"/>
      <c r="F177" s="438"/>
      <c r="G177" s="438"/>
      <c r="H177" s="438"/>
      <c r="I177" s="438"/>
      <c r="J177" s="438"/>
      <c r="K177" s="438"/>
      <c r="M177" s="21"/>
      <c r="N177" s="15"/>
    </row>
    <row r="178" spans="2:14" hidden="1" outlineLevel="1">
      <c r="B178" s="437" t="str">
        <f>$B$36</f>
        <v>TUC International (Excl. JV)</v>
      </c>
      <c r="C178" s="438"/>
      <c r="D178" s="438"/>
      <c r="E178" s="438"/>
      <c r="F178" s="438"/>
      <c r="G178" s="438"/>
      <c r="H178" s="438"/>
      <c r="I178" s="438"/>
      <c r="J178" s="438"/>
      <c r="K178" s="438"/>
      <c r="M178" s="21"/>
      <c r="N178" s="15"/>
    </row>
    <row r="179" spans="2:14" hidden="1" outlineLevel="1">
      <c r="B179" s="437" t="str">
        <f>$B$37</f>
        <v>TUC JV</v>
      </c>
      <c r="C179" s="438"/>
      <c r="D179" s="438"/>
      <c r="E179" s="438"/>
      <c r="F179" s="438"/>
      <c r="G179" s="438"/>
      <c r="H179" s="438"/>
      <c r="I179" s="438"/>
      <c r="J179" s="438"/>
      <c r="K179" s="438"/>
      <c r="M179" s="21"/>
      <c r="N179" s="15"/>
    </row>
    <row r="180" spans="2:14" collapsed="1">
      <c r="B180" s="19" t="str">
        <f>$B$38</f>
        <v>nth Bio</v>
      </c>
      <c r="C180" s="20"/>
      <c r="D180" s="20"/>
      <c r="E180" s="20"/>
      <c r="F180" s="20"/>
      <c r="G180" s="20"/>
      <c r="H180" s="20"/>
      <c r="I180" s="20"/>
      <c r="J180" s="20"/>
      <c r="K180" s="20"/>
      <c r="M180" s="21"/>
      <c r="N180" s="15"/>
    </row>
    <row r="181" spans="2:14">
      <c r="B181" s="19" t="str">
        <f>$B$122</f>
        <v>Corporate Services</v>
      </c>
      <c r="C181" s="20"/>
      <c r="D181" s="20"/>
      <c r="E181" s="20"/>
      <c r="F181" s="20"/>
      <c r="G181" s="20"/>
      <c r="H181" s="20"/>
      <c r="I181" s="20"/>
      <c r="J181" s="20"/>
      <c r="K181" s="20"/>
      <c r="M181" s="21"/>
      <c r="N181" s="15"/>
    </row>
    <row r="182" spans="2:14" ht="15" customHeight="1" thickBot="1">
      <c r="B182" s="23" t="str">
        <f>$B$48</f>
        <v>Total</v>
      </c>
      <c r="C182" s="24">
        <f t="shared" ref="C182:K182" si="93">SUM(C$174:C$181)</f>
        <v>12953.733760121089</v>
      </c>
      <c r="D182" s="24">
        <f t="shared" si="93"/>
        <v>19113.353831736451</v>
      </c>
      <c r="E182" s="24">
        <f t="shared" si="93"/>
        <v>25971.591796843248</v>
      </c>
      <c r="F182" s="24">
        <f t="shared" si="93"/>
        <v>29609.880368052436</v>
      </c>
      <c r="G182" s="24">
        <f t="shared" si="93"/>
        <v>42968.663778700757</v>
      </c>
      <c r="H182" s="24">
        <f t="shared" si="93"/>
        <v>39972.073999595035</v>
      </c>
      <c r="I182" s="24">
        <f t="shared" si="93"/>
        <v>35160.521184287041</v>
      </c>
      <c r="J182" s="24">
        <f t="shared" si="93"/>
        <v>25995.798208613243</v>
      </c>
      <c r="K182" s="24">
        <f t="shared" si="93"/>
        <v>23778.389782141858</v>
      </c>
      <c r="M182" s="21"/>
      <c r="N182" s="15"/>
    </row>
    <row r="183" spans="2:14" ht="3.75" customHeight="1">
      <c r="C183" s="14"/>
      <c r="D183" s="14"/>
      <c r="E183" s="14"/>
      <c r="F183" s="14"/>
      <c r="G183" s="14"/>
      <c r="H183" s="14"/>
      <c r="I183" s="14"/>
      <c r="J183" s="14"/>
      <c r="K183" s="14"/>
      <c r="M183" s="21"/>
      <c r="N183" s="15"/>
    </row>
    <row r="184" spans="2:14" s="15" customFormat="1" ht="15.75" customHeight="1">
      <c r="B184" s="435" t="s">
        <v>681</v>
      </c>
      <c r="C184" s="436"/>
      <c r="D184" s="436"/>
      <c r="E184" s="436"/>
      <c r="F184" s="436"/>
      <c r="G184" s="436"/>
      <c r="H184" s="436"/>
      <c r="I184" s="436"/>
      <c r="J184" s="436"/>
      <c r="K184" s="436"/>
      <c r="M184" s="18"/>
    </row>
    <row r="185" spans="2:14">
      <c r="B185" s="19" t="s">
        <v>631</v>
      </c>
      <c r="C185" s="22">
        <f>(_xlfn.XLOOKUP(C$5, 'Project Playground ROI'!$F$29:$AL$29, 'Project Playground ROI'!$F$158:$AL$158)) * Pct_JV</f>
        <v>0</v>
      </c>
      <c r="D185" s="22">
        <f>(_xlfn.XLOOKUP(D$5, 'Project Playground ROI'!$F$29:$AL$29, 'Project Playground ROI'!$F$158:$AL$158)) * Pct_JV</f>
        <v>-49.785587108874715</v>
      </c>
      <c r="E185" s="22">
        <f>(_xlfn.XLOOKUP(E$5, 'Project Playground ROI'!$F$29:$AL$29, 'Project Playground ROI'!$F$158:$AL$158)) * Pct_JV</f>
        <v>-292.40770938557176</v>
      </c>
      <c r="F185" s="22">
        <f>(_xlfn.XLOOKUP(F$5, 'Project Playground ROI'!$F$29:$AL$29, 'Project Playground ROI'!$F$158:$AL$158)) * Pct_JV</f>
        <v>6466.1058331529885</v>
      </c>
      <c r="G185" s="22">
        <f>(_xlfn.XLOOKUP(G$5, 'Project Playground ROI'!$F$29:$AL$29, 'Project Playground ROI'!$F$158:$AL$158)) * Pct_JV</f>
        <v>16411.395382339808</v>
      </c>
      <c r="H185" s="22">
        <f>(_xlfn.XLOOKUP(H$5, 'Project Playground ROI'!$F$29:$AL$29, 'Project Playground ROI'!$F$158:$AL$158)) * Pct_JV</f>
        <v>21946.004662754076</v>
      </c>
      <c r="I185" s="22">
        <f>(_xlfn.XLOOKUP(I$5, 'Project Playground ROI'!$F$29:$AL$29, 'Project Playground ROI'!$F$158:$AL$158)) * Pct_JV</f>
        <v>25544.411907663191</v>
      </c>
      <c r="J185" s="22">
        <f>(_xlfn.XLOOKUP(J$5, 'Project Playground ROI'!$F$29:$AL$29, 'Project Playground ROI'!$F$158:$AL$158)) * Pct_JV</f>
        <v>28295.605587567199</v>
      </c>
      <c r="K185" s="22">
        <f>(_xlfn.XLOOKUP(K$5, 'Project Playground ROI'!$F$29:$AL$29, 'Project Playground ROI'!$F$158:$AL$158)) * Pct_JV</f>
        <v>29061.913659081551</v>
      </c>
      <c r="M185" s="21"/>
      <c r="N185" s="15"/>
    </row>
    <row r="186" spans="2:14">
      <c r="B186" s="19"/>
      <c r="C186" s="20"/>
      <c r="D186" s="20"/>
      <c r="E186" s="20"/>
      <c r="F186" s="20"/>
      <c r="G186" s="20"/>
      <c r="H186" s="20"/>
      <c r="I186" s="20"/>
      <c r="J186" s="20"/>
      <c r="K186" s="20"/>
      <c r="M186" s="21"/>
      <c r="N186" s="15"/>
    </row>
    <row r="187" spans="2:14">
      <c r="B187" s="19"/>
      <c r="C187" s="20"/>
      <c r="D187" s="20"/>
      <c r="E187" s="20"/>
      <c r="F187" s="20"/>
      <c r="G187" s="20"/>
      <c r="H187" s="20"/>
      <c r="I187" s="20"/>
      <c r="J187" s="20"/>
      <c r="K187" s="20"/>
      <c r="M187" s="21"/>
      <c r="N187" s="15"/>
    </row>
    <row r="188" spans="2:14">
      <c r="B188" s="19"/>
      <c r="C188" s="20"/>
      <c r="D188" s="20"/>
      <c r="E188" s="20"/>
      <c r="F188" s="20"/>
      <c r="G188" s="20"/>
      <c r="H188" s="20"/>
      <c r="I188" s="20"/>
      <c r="J188" s="20"/>
      <c r="K188" s="20"/>
      <c r="M188" s="21"/>
      <c r="N188" s="15"/>
    </row>
    <row r="189" spans="2:14" ht="15" customHeight="1" thickBot="1">
      <c r="B189" s="23" t="s">
        <v>680</v>
      </c>
      <c r="C189" s="24">
        <f>SUM(C185:C188)</f>
        <v>0</v>
      </c>
      <c r="D189" s="24">
        <f t="shared" ref="D189:K189" si="94">SUM(D185:D188)</f>
        <v>-49.785587108874715</v>
      </c>
      <c r="E189" s="24">
        <f t="shared" si="94"/>
        <v>-292.40770938557176</v>
      </c>
      <c r="F189" s="24">
        <f t="shared" si="94"/>
        <v>6466.1058331529885</v>
      </c>
      <c r="G189" s="24">
        <f t="shared" si="94"/>
        <v>16411.395382339808</v>
      </c>
      <c r="H189" s="24">
        <f t="shared" si="94"/>
        <v>21946.004662754076</v>
      </c>
      <c r="I189" s="24">
        <f t="shared" si="94"/>
        <v>25544.411907663191</v>
      </c>
      <c r="J189" s="24">
        <f t="shared" si="94"/>
        <v>28295.605587567199</v>
      </c>
      <c r="K189" s="24">
        <f t="shared" si="94"/>
        <v>29061.913659081551</v>
      </c>
      <c r="M189" s="21"/>
      <c r="N189" s="15"/>
    </row>
    <row r="190" spans="2:14" ht="3.75" customHeight="1">
      <c r="C190" s="14"/>
      <c r="D190" s="14"/>
      <c r="E190" s="14"/>
      <c r="F190" s="14"/>
      <c r="G190" s="14"/>
      <c r="H190" s="14"/>
      <c r="I190" s="14"/>
      <c r="J190" s="14"/>
      <c r="K190" s="14"/>
      <c r="M190" s="21"/>
      <c r="N190" s="15"/>
    </row>
    <row r="191" spans="2:14" s="15" customFormat="1">
      <c r="B191" s="28" t="s">
        <v>85</v>
      </c>
      <c r="C191" s="29"/>
      <c r="D191" s="29"/>
      <c r="E191" s="29"/>
      <c r="F191" s="29"/>
      <c r="G191" s="29"/>
      <c r="H191" s="29"/>
      <c r="I191" s="29"/>
      <c r="J191" s="29"/>
      <c r="K191" s="29"/>
      <c r="M191" s="21"/>
    </row>
    <row r="192" spans="2:14">
      <c r="B192" s="19" t="str">
        <f>$B$24</f>
        <v>B2B Global</v>
      </c>
      <c r="C192" s="20">
        <f>C163-C174+C189</f>
        <v>-80350.687289729016</v>
      </c>
      <c r="D192" s="20">
        <f t="shared" ref="D192:K192" si="95">D163-D174+D189</f>
        <v>-92252.999347603181</v>
      </c>
      <c r="E192" s="20">
        <f t="shared" si="95"/>
        <v>-108677.61975365164</v>
      </c>
      <c r="F192" s="20">
        <f>F163-F174+F189</f>
        <v>-76389.31461984459</v>
      </c>
      <c r="G192" s="20">
        <f t="shared" si="95"/>
        <v>23368.108496138459</v>
      </c>
      <c r="H192" s="20">
        <f t="shared" si="95"/>
        <v>29685.133588308669</v>
      </c>
      <c r="I192" s="20">
        <f t="shared" si="95"/>
        <v>42265.297822719534</v>
      </c>
      <c r="J192" s="20">
        <f t="shared" si="95"/>
        <v>47812.992371902925</v>
      </c>
      <c r="K192" s="20">
        <f t="shared" si="95"/>
        <v>42694.613077859161</v>
      </c>
      <c r="M192" s="21"/>
      <c r="N192" s="15"/>
    </row>
    <row r="193" spans="2:14">
      <c r="B193" s="19" t="str">
        <f>$B$30</f>
        <v>SBL (Excl. LGB)</v>
      </c>
      <c r="C193" s="20">
        <f t="shared" ref="C193:K193" si="96">C164-C175</f>
        <v>4626.8500000000058</v>
      </c>
      <c r="D193" s="20">
        <f t="shared" si="96"/>
        <v>7322.0429999999951</v>
      </c>
      <c r="E193" s="20">
        <f t="shared" si="96"/>
        <v>8585.34951</v>
      </c>
      <c r="F193" s="20">
        <f t="shared" si="96"/>
        <v>8785.0541697000062</v>
      </c>
      <c r="G193" s="20">
        <f t="shared" si="96"/>
        <v>10299.203942679014</v>
      </c>
      <c r="H193" s="20">
        <f t="shared" si="96"/>
        <v>11029.248355805135</v>
      </c>
      <c r="I193" s="20">
        <f t="shared" si="96"/>
        <v>11869.896615479292</v>
      </c>
      <c r="J193" s="20">
        <f t="shared" si="96"/>
        <v>11393.440829768675</v>
      </c>
      <c r="K193" s="20">
        <f t="shared" si="96"/>
        <v>11228.221554661719</v>
      </c>
      <c r="M193" s="21"/>
      <c r="N193" s="15"/>
    </row>
    <row r="194" spans="2:14">
      <c r="B194" s="19" t="str">
        <f>$B$34</f>
        <v>TUC Global</v>
      </c>
      <c r="C194" s="20">
        <f t="shared" ref="C194:K194" si="97">C165-C176</f>
        <v>-16063.943761568507</v>
      </c>
      <c r="D194" s="20">
        <f t="shared" si="97"/>
        <v>-665.43422834530611</v>
      </c>
      <c r="E194" s="20">
        <f t="shared" si="97"/>
        <v>86.607025138327003</v>
      </c>
      <c r="F194" s="20">
        <f t="shared" si="97"/>
        <v>0</v>
      </c>
      <c r="G194" s="20">
        <f t="shared" si="97"/>
        <v>0</v>
      </c>
      <c r="H194" s="20">
        <f t="shared" si="97"/>
        <v>0</v>
      </c>
      <c r="I194" s="20">
        <f t="shared" si="97"/>
        <v>0</v>
      </c>
      <c r="J194" s="20">
        <f t="shared" si="97"/>
        <v>0</v>
      </c>
      <c r="K194" s="20">
        <f t="shared" si="97"/>
        <v>0</v>
      </c>
      <c r="M194" s="21"/>
      <c r="N194" s="15"/>
    </row>
    <row r="195" spans="2:14" hidden="1" outlineLevel="1">
      <c r="B195" s="437" t="str">
        <f>$B$35</f>
        <v>TUC</v>
      </c>
      <c r="C195" s="438">
        <f t="shared" ref="C195:K195" si="98">C166-C177</f>
        <v>-16063.943761568507</v>
      </c>
      <c r="D195" s="438">
        <f t="shared" si="98"/>
        <v>-665.43422834530611</v>
      </c>
      <c r="E195" s="438">
        <f t="shared" si="98"/>
        <v>86.607025138327003</v>
      </c>
      <c r="F195" s="438">
        <f t="shared" si="98"/>
        <v>0</v>
      </c>
      <c r="G195" s="438">
        <f t="shared" si="98"/>
        <v>0</v>
      </c>
      <c r="H195" s="438">
        <f t="shared" si="98"/>
        <v>0</v>
      </c>
      <c r="I195" s="438">
        <f t="shared" si="98"/>
        <v>0</v>
      </c>
      <c r="J195" s="438">
        <f t="shared" si="98"/>
        <v>0</v>
      </c>
      <c r="K195" s="438">
        <f t="shared" si="98"/>
        <v>0</v>
      </c>
      <c r="M195" s="21"/>
      <c r="N195" s="15"/>
    </row>
    <row r="196" spans="2:14" hidden="1" outlineLevel="1">
      <c r="B196" s="437" t="str">
        <f>$B$36</f>
        <v>TUC International (Excl. JV)</v>
      </c>
      <c r="C196" s="438">
        <f t="shared" ref="C196:K196" si="99">C167-C178</f>
        <v>0</v>
      </c>
      <c r="D196" s="438">
        <f t="shared" si="99"/>
        <v>0</v>
      </c>
      <c r="E196" s="438">
        <f t="shared" si="99"/>
        <v>0</v>
      </c>
      <c r="F196" s="438">
        <f t="shared" si="99"/>
        <v>0</v>
      </c>
      <c r="G196" s="438">
        <f t="shared" si="99"/>
        <v>0</v>
      </c>
      <c r="H196" s="438">
        <f t="shared" si="99"/>
        <v>0</v>
      </c>
      <c r="I196" s="438">
        <f t="shared" si="99"/>
        <v>0</v>
      </c>
      <c r="J196" s="438">
        <f t="shared" si="99"/>
        <v>0</v>
      </c>
      <c r="K196" s="438">
        <f t="shared" si="99"/>
        <v>0</v>
      </c>
      <c r="M196" s="21"/>
      <c r="N196" s="15"/>
    </row>
    <row r="197" spans="2:14" hidden="1" outlineLevel="1">
      <c r="B197" s="437" t="str">
        <f>$B$37</f>
        <v>TUC JV</v>
      </c>
      <c r="C197" s="438">
        <f t="shared" ref="C197:K197" si="100">C168-C179</f>
        <v>0</v>
      </c>
      <c r="D197" s="438">
        <f t="shared" si="100"/>
        <v>0</v>
      </c>
      <c r="E197" s="438">
        <f t="shared" si="100"/>
        <v>0</v>
      </c>
      <c r="F197" s="438">
        <f t="shared" si="100"/>
        <v>0</v>
      </c>
      <c r="G197" s="438">
        <f t="shared" si="100"/>
        <v>0</v>
      </c>
      <c r="H197" s="438">
        <f t="shared" si="100"/>
        <v>0</v>
      </c>
      <c r="I197" s="438">
        <f t="shared" si="100"/>
        <v>0</v>
      </c>
      <c r="J197" s="438">
        <f t="shared" si="100"/>
        <v>0</v>
      </c>
      <c r="K197" s="438">
        <f t="shared" si="100"/>
        <v>0</v>
      </c>
      <c r="M197" s="21"/>
      <c r="N197" s="15"/>
    </row>
    <row r="198" spans="2:14" collapsed="1">
      <c r="B198" s="19" t="str">
        <f>$B$38</f>
        <v>nth Bio</v>
      </c>
      <c r="C198" s="20">
        <f t="shared" ref="C198:K198" si="101">C169-C180</f>
        <v>-26371.342164382069</v>
      </c>
      <c r="D198" s="20">
        <f t="shared" si="101"/>
        <v>-13656.339590934191</v>
      </c>
      <c r="E198" s="20">
        <f t="shared" si="101"/>
        <v>-7624.6852729916736</v>
      </c>
      <c r="F198" s="20">
        <f t="shared" si="101"/>
        <v>9824.2459392323835</v>
      </c>
      <c r="G198" s="20">
        <f t="shared" si="101"/>
        <v>5641.588055469696</v>
      </c>
      <c r="H198" s="20">
        <f t="shared" si="101"/>
        <v>7056.9920868193904</v>
      </c>
      <c r="I198" s="20">
        <f t="shared" si="101"/>
        <v>8372.6717304119265</v>
      </c>
      <c r="J198" s="20">
        <f t="shared" si="101"/>
        <v>10140.495063569488</v>
      </c>
      <c r="K198" s="20">
        <f t="shared" si="101"/>
        <v>11876.825400507532</v>
      </c>
      <c r="M198" s="21"/>
      <c r="N198" s="15"/>
    </row>
    <row r="199" spans="2:14">
      <c r="B199" s="19" t="str">
        <f>$B$122</f>
        <v>Corporate Services</v>
      </c>
      <c r="C199" s="20">
        <f t="shared" ref="C199:K199" si="102">C170-C181</f>
        <v>-28252.406291287094</v>
      </c>
      <c r="D199" s="20">
        <f t="shared" si="102"/>
        <v>-22316.618098914874</v>
      </c>
      <c r="E199" s="20">
        <f t="shared" si="102"/>
        <v>-24461.681851642577</v>
      </c>
      <c r="F199" s="20">
        <f t="shared" si="102"/>
        <v>-26478.143664405005</v>
      </c>
      <c r="G199" s="20">
        <f t="shared" si="102"/>
        <v>-30401.489553806081</v>
      </c>
      <c r="H199" s="20">
        <f t="shared" si="102"/>
        <v>-31356.845944055538</v>
      </c>
      <c r="I199" s="20">
        <f t="shared" si="102"/>
        <v>-32345.361260829741</v>
      </c>
      <c r="J199" s="20">
        <f t="shared" si="102"/>
        <v>-33368.226172042007</v>
      </c>
      <c r="K199" s="20">
        <f t="shared" si="102"/>
        <v>-34426.675171253148</v>
      </c>
      <c r="M199" s="21"/>
      <c r="N199" s="15"/>
    </row>
    <row r="200" spans="2:14" ht="15" customHeight="1" thickBot="1">
      <c r="B200" s="23" t="str">
        <f>$B$48</f>
        <v>Total</v>
      </c>
      <c r="C200" s="24">
        <f>C192+C193+C194+C198+C199</f>
        <v>-146411.52950696668</v>
      </c>
      <c r="D200" s="24">
        <f t="shared" ref="D200:K200" si="103">D192+D193+D194+D198+D199</f>
        <v>-121569.34826579755</v>
      </c>
      <c r="E200" s="24">
        <f t="shared" si="103"/>
        <v>-132092.03034314758</v>
      </c>
      <c r="F200" s="24">
        <f t="shared" si="103"/>
        <v>-84258.158175317221</v>
      </c>
      <c r="G200" s="24">
        <f t="shared" si="103"/>
        <v>8907.4109404810879</v>
      </c>
      <c r="H200" s="24">
        <f t="shared" si="103"/>
        <v>16414.528086877654</v>
      </c>
      <c r="I200" s="24">
        <f t="shared" si="103"/>
        <v>30162.504907781011</v>
      </c>
      <c r="J200" s="24">
        <f t="shared" si="103"/>
        <v>35978.702093199085</v>
      </c>
      <c r="K200" s="24">
        <f t="shared" si="103"/>
        <v>31372.984861775265</v>
      </c>
      <c r="M200" s="21"/>
      <c r="N200" s="15"/>
    </row>
    <row r="201" spans="2:14" ht="3.75" customHeight="1">
      <c r="C201" s="14"/>
      <c r="D201" s="14"/>
      <c r="E201" s="14"/>
      <c r="F201" s="14"/>
      <c r="G201" s="14"/>
      <c r="H201" s="14"/>
      <c r="I201" s="14"/>
      <c r="J201" s="14"/>
      <c r="K201" s="14"/>
      <c r="M201" s="21"/>
      <c r="N201" s="15"/>
    </row>
    <row r="202" spans="2:14" ht="3" customHeight="1" thickBot="1">
      <c r="B202" s="442"/>
      <c r="C202" s="443"/>
      <c r="D202" s="443"/>
      <c r="E202" s="443"/>
      <c r="F202" s="443"/>
      <c r="G202" s="443"/>
      <c r="H202" s="443"/>
      <c r="I202" s="443"/>
      <c r="J202" s="443"/>
      <c r="K202" s="443"/>
      <c r="N202" s="15"/>
    </row>
    <row r="203" spans="2:14" ht="3.75" customHeight="1">
      <c r="C203" s="14"/>
      <c r="D203" s="14"/>
      <c r="E203" s="14"/>
      <c r="F203" s="14"/>
      <c r="G203" s="14"/>
      <c r="H203" s="14"/>
      <c r="I203" s="14"/>
      <c r="J203" s="14"/>
      <c r="K203" s="14"/>
      <c r="M203" s="21"/>
      <c r="N203" s="15"/>
    </row>
    <row r="204" spans="2:14" s="15" customFormat="1">
      <c r="B204" s="431" t="s">
        <v>439</v>
      </c>
      <c r="C204" s="441"/>
      <c r="D204" s="441"/>
      <c r="E204" s="441"/>
      <c r="F204" s="441"/>
      <c r="G204" s="441"/>
      <c r="H204" s="441"/>
      <c r="I204" s="441"/>
      <c r="J204" s="441"/>
      <c r="K204" s="441"/>
      <c r="M204" s="21"/>
    </row>
    <row r="205" spans="2:14">
      <c r="B205" s="19" t="str">
        <f>$B$24</f>
        <v>B2B Global</v>
      </c>
      <c r="C205" s="22">
        <f>C221</f>
        <v>0</v>
      </c>
      <c r="D205" s="22">
        <f t="shared" ref="D205:K205" si="104">D221</f>
        <v>0</v>
      </c>
      <c r="E205" s="22">
        <f t="shared" si="104"/>
        <v>0</v>
      </c>
      <c r="F205" s="22">
        <f t="shared" si="104"/>
        <v>0</v>
      </c>
      <c r="G205" s="22">
        <f t="shared" si="104"/>
        <v>0</v>
      </c>
      <c r="H205" s="22">
        <f t="shared" si="104"/>
        <v>0</v>
      </c>
      <c r="I205" s="22">
        <f t="shared" si="104"/>
        <v>0</v>
      </c>
      <c r="J205" s="22">
        <f t="shared" si="104"/>
        <v>0</v>
      </c>
      <c r="K205" s="22">
        <f t="shared" si="104"/>
        <v>0</v>
      </c>
      <c r="M205" s="21"/>
      <c r="N205" s="15"/>
    </row>
    <row r="206" spans="2:14">
      <c r="B206" s="19" t="str">
        <f>$B$30</f>
        <v>SBL (Excl. LGB)</v>
      </c>
      <c r="C206" s="22">
        <f>C233</f>
        <v>0</v>
      </c>
      <c r="D206" s="22">
        <f t="shared" ref="D206:K206" si="105">D233</f>
        <v>0</v>
      </c>
      <c r="E206" s="22">
        <f t="shared" si="105"/>
        <v>0</v>
      </c>
      <c r="F206" s="22">
        <f t="shared" si="105"/>
        <v>5966.6844873265418</v>
      </c>
      <c r="G206" s="22">
        <f t="shared" si="105"/>
        <v>12758.852692566532</v>
      </c>
      <c r="H206" s="22">
        <f t="shared" si="105"/>
        <v>13522.88622328308</v>
      </c>
      <c r="I206" s="22">
        <f t="shared" si="105"/>
        <v>13963.550894651307</v>
      </c>
      <c r="J206" s="22">
        <f t="shared" si="105"/>
        <v>14090.020658737212</v>
      </c>
      <c r="K206" s="22">
        <f t="shared" si="105"/>
        <v>14311.009898956581</v>
      </c>
      <c r="M206" s="21"/>
      <c r="N206" s="15"/>
    </row>
    <row r="207" spans="2:14">
      <c r="B207" s="19" t="str">
        <f>$B$34</f>
        <v>TUC Global</v>
      </c>
      <c r="C207" s="22">
        <f>SUM(C208:C210)</f>
        <v>0</v>
      </c>
      <c r="D207" s="22">
        <f t="shared" ref="D207:K207" si="106">SUM(D208:D210)</f>
        <v>0</v>
      </c>
      <c r="E207" s="22">
        <f t="shared" si="106"/>
        <v>0</v>
      </c>
      <c r="F207" s="22">
        <f t="shared" si="106"/>
        <v>0</v>
      </c>
      <c r="G207" s="22">
        <f t="shared" si="106"/>
        <v>0</v>
      </c>
      <c r="H207" s="22">
        <f t="shared" si="106"/>
        <v>0</v>
      </c>
      <c r="I207" s="22">
        <f t="shared" si="106"/>
        <v>0</v>
      </c>
      <c r="J207" s="22">
        <f t="shared" si="106"/>
        <v>0</v>
      </c>
      <c r="K207" s="22">
        <f t="shared" si="106"/>
        <v>0</v>
      </c>
      <c r="M207" s="21"/>
      <c r="N207" s="15"/>
    </row>
    <row r="208" spans="2:14" hidden="1" outlineLevel="1">
      <c r="B208" s="437" t="str">
        <f>$B$35</f>
        <v>TUC</v>
      </c>
      <c r="C208" s="438">
        <f>C239</f>
        <v>0</v>
      </c>
      <c r="D208" s="438">
        <f t="shared" ref="D208:K208" si="107">D239</f>
        <v>0</v>
      </c>
      <c r="E208" s="438">
        <f t="shared" si="107"/>
        <v>0</v>
      </c>
      <c r="F208" s="438">
        <f t="shared" si="107"/>
        <v>0</v>
      </c>
      <c r="G208" s="438">
        <f t="shared" si="107"/>
        <v>0</v>
      </c>
      <c r="H208" s="438">
        <f t="shared" si="107"/>
        <v>0</v>
      </c>
      <c r="I208" s="438">
        <f t="shared" si="107"/>
        <v>0</v>
      </c>
      <c r="J208" s="438">
        <f t="shared" si="107"/>
        <v>0</v>
      </c>
      <c r="K208" s="438">
        <f t="shared" si="107"/>
        <v>0</v>
      </c>
      <c r="M208" s="21"/>
      <c r="N208" s="15"/>
    </row>
    <row r="209" spans="2:14" hidden="1" outlineLevel="1">
      <c r="B209" s="437" t="str">
        <f>$B$36</f>
        <v>TUC International (Excl. JV)</v>
      </c>
      <c r="C209" s="438">
        <f>C245</f>
        <v>0</v>
      </c>
      <c r="D209" s="438">
        <f t="shared" ref="D209:K209" si="108">D245</f>
        <v>0</v>
      </c>
      <c r="E209" s="438">
        <f t="shared" si="108"/>
        <v>0</v>
      </c>
      <c r="F209" s="438">
        <f t="shared" si="108"/>
        <v>0</v>
      </c>
      <c r="G209" s="438">
        <f t="shared" si="108"/>
        <v>0</v>
      </c>
      <c r="H209" s="438">
        <f t="shared" si="108"/>
        <v>0</v>
      </c>
      <c r="I209" s="438">
        <f t="shared" si="108"/>
        <v>0</v>
      </c>
      <c r="J209" s="438">
        <f t="shared" si="108"/>
        <v>0</v>
      </c>
      <c r="K209" s="438">
        <f t="shared" si="108"/>
        <v>0</v>
      </c>
      <c r="M209" s="21"/>
      <c r="N209" s="15"/>
    </row>
    <row r="210" spans="2:14" hidden="1" outlineLevel="1">
      <c r="B210" s="437" t="str">
        <f>$B$37</f>
        <v>TUC JV</v>
      </c>
      <c r="C210" s="438">
        <f>C251</f>
        <v>0</v>
      </c>
      <c r="D210" s="438">
        <f t="shared" ref="D210:K210" si="109">D251</f>
        <v>0</v>
      </c>
      <c r="E210" s="438">
        <f t="shared" si="109"/>
        <v>0</v>
      </c>
      <c r="F210" s="438">
        <f t="shared" si="109"/>
        <v>0</v>
      </c>
      <c r="G210" s="438">
        <f t="shared" si="109"/>
        <v>0</v>
      </c>
      <c r="H210" s="438">
        <f t="shared" si="109"/>
        <v>0</v>
      </c>
      <c r="I210" s="438">
        <f t="shared" si="109"/>
        <v>0</v>
      </c>
      <c r="J210" s="438">
        <f t="shared" si="109"/>
        <v>0</v>
      </c>
      <c r="K210" s="438">
        <f t="shared" si="109"/>
        <v>0</v>
      </c>
      <c r="M210" s="21"/>
      <c r="N210" s="15"/>
    </row>
    <row r="211" spans="2:14" collapsed="1">
      <c r="B211" s="19" t="str">
        <f>$B$38</f>
        <v>nth Bio</v>
      </c>
      <c r="C211" s="22">
        <f>C257</f>
        <v>0</v>
      </c>
      <c r="D211" s="22">
        <f t="shared" ref="D211:K211" si="110">D257</f>
        <v>0</v>
      </c>
      <c r="E211" s="22">
        <f t="shared" si="110"/>
        <v>0</v>
      </c>
      <c r="F211" s="22">
        <f t="shared" si="110"/>
        <v>0</v>
      </c>
      <c r="G211" s="22">
        <f t="shared" si="110"/>
        <v>0</v>
      </c>
      <c r="H211" s="22">
        <f t="shared" si="110"/>
        <v>0</v>
      </c>
      <c r="I211" s="22">
        <f t="shared" si="110"/>
        <v>0</v>
      </c>
      <c r="J211" s="22">
        <f t="shared" si="110"/>
        <v>0</v>
      </c>
      <c r="K211" s="22">
        <f t="shared" si="110"/>
        <v>1315.1128119256218</v>
      </c>
      <c r="M211" s="21"/>
      <c r="N211" s="15"/>
    </row>
    <row r="212" spans="2:14">
      <c r="B212" s="19" t="str">
        <f>$B$122</f>
        <v>Corporate Services</v>
      </c>
      <c r="C212" s="22"/>
      <c r="D212" s="22"/>
      <c r="E212" s="22"/>
      <c r="F212" s="22"/>
      <c r="G212" s="22"/>
      <c r="H212" s="22"/>
      <c r="I212" s="22"/>
      <c r="J212" s="22"/>
      <c r="K212" s="22"/>
      <c r="M212" s="21"/>
      <c r="N212" s="15"/>
    </row>
    <row r="213" spans="2:14" ht="15" customHeight="1" thickBot="1">
      <c r="B213" s="23" t="str">
        <f>$B$48</f>
        <v>Total</v>
      </c>
      <c r="C213" s="24">
        <f t="shared" ref="C213:K213" si="111">SUM(C205:C212)</f>
        <v>0</v>
      </c>
      <c r="D213" s="24">
        <f t="shared" si="111"/>
        <v>0</v>
      </c>
      <c r="E213" s="24">
        <f t="shared" si="111"/>
        <v>0</v>
      </c>
      <c r="F213" s="24">
        <f t="shared" si="111"/>
        <v>5966.6844873265418</v>
      </c>
      <c r="G213" s="24">
        <f t="shared" si="111"/>
        <v>12758.852692566532</v>
      </c>
      <c r="H213" s="24">
        <f t="shared" si="111"/>
        <v>13522.88622328308</v>
      </c>
      <c r="I213" s="24">
        <f t="shared" si="111"/>
        <v>13963.550894651307</v>
      </c>
      <c r="J213" s="24">
        <f t="shared" si="111"/>
        <v>14090.020658737212</v>
      </c>
      <c r="K213" s="24">
        <f t="shared" si="111"/>
        <v>15626.122710882202</v>
      </c>
      <c r="M213" s="21"/>
      <c r="N213" s="15"/>
    </row>
    <row r="214" spans="2:14" ht="3.75" customHeight="1">
      <c r="N214" s="15"/>
    </row>
    <row r="215" spans="2:14" s="15" customFormat="1">
      <c r="B215" s="444" t="s">
        <v>424</v>
      </c>
      <c r="C215" s="445"/>
      <c r="D215" s="445"/>
      <c r="E215" s="445"/>
      <c r="F215" s="445"/>
      <c r="G215" s="445"/>
      <c r="H215" s="445"/>
      <c r="I215" s="445"/>
      <c r="J215" s="445"/>
      <c r="K215" s="445"/>
      <c r="M215" s="21"/>
    </row>
    <row r="216" spans="2:14" ht="3.75" customHeight="1">
      <c r="N216" s="15"/>
    </row>
    <row r="217" spans="2:14" s="100" customFormat="1" hidden="1" outlineLevel="1">
      <c r="B217" s="264" t="s">
        <v>428</v>
      </c>
      <c r="C217" s="264"/>
      <c r="D217" s="264"/>
      <c r="E217" s="264"/>
      <c r="F217" s="264"/>
      <c r="G217" s="264"/>
      <c r="H217" s="264"/>
      <c r="I217" s="264"/>
      <c r="J217" s="264"/>
      <c r="K217" s="264"/>
      <c r="M217" s="60"/>
      <c r="N217" s="15"/>
    </row>
    <row r="218" spans="2:14" hidden="1" outlineLevel="1">
      <c r="B218" s="19" t="s">
        <v>427</v>
      </c>
      <c r="C218" s="20">
        <f t="shared" ref="C218:K218" si="112">((C192) + C199)  * 0.25</f>
        <v>-27150.773395254029</v>
      </c>
      <c r="D218" s="20">
        <f t="shared" si="112"/>
        <v>-28642.404361629513</v>
      </c>
      <c r="E218" s="20">
        <f t="shared" si="112"/>
        <v>-33284.825401323556</v>
      </c>
      <c r="F218" s="20">
        <f t="shared" si="112"/>
        <v>-25716.864571062397</v>
      </c>
      <c r="G218" s="20">
        <f t="shared" si="112"/>
        <v>-1758.3452644169056</v>
      </c>
      <c r="H218" s="20">
        <f t="shared" si="112"/>
        <v>-417.92808893671736</v>
      </c>
      <c r="I218" s="20">
        <f t="shared" si="112"/>
        <v>2479.9841404724484</v>
      </c>
      <c r="J218" s="20">
        <f t="shared" si="112"/>
        <v>3611.1915499652296</v>
      </c>
      <c r="K218" s="20">
        <f t="shared" si="112"/>
        <v>2066.9844766515034</v>
      </c>
      <c r="N218" s="15"/>
    </row>
    <row r="219" spans="2:14" hidden="1" outlineLevel="1">
      <c r="B219" s="19" t="s">
        <v>233</v>
      </c>
      <c r="C219" s="20">
        <v>-160000</v>
      </c>
      <c r="D219" s="20">
        <f t="shared" ref="D219:K219" si="113">C220</f>
        <v>-187150.77339525404</v>
      </c>
      <c r="E219" s="20">
        <f t="shared" si="113"/>
        <v>-215793.17775688355</v>
      </c>
      <c r="F219" s="20">
        <f t="shared" si="113"/>
        <v>-249078.00315820711</v>
      </c>
      <c r="G219" s="20">
        <f t="shared" si="113"/>
        <v>-274794.86772926949</v>
      </c>
      <c r="H219" s="20">
        <f t="shared" si="113"/>
        <v>-276553.21299368638</v>
      </c>
      <c r="I219" s="20">
        <f t="shared" si="113"/>
        <v>-276971.1410826231</v>
      </c>
      <c r="J219" s="20">
        <f t="shared" si="113"/>
        <v>-274491.15694215067</v>
      </c>
      <c r="K219" s="20">
        <f t="shared" si="113"/>
        <v>-270879.96539218543</v>
      </c>
      <c r="N219" s="15"/>
    </row>
    <row r="220" spans="2:14" hidden="1" outlineLevel="1">
      <c r="B220" s="19" t="s">
        <v>426</v>
      </c>
      <c r="C220" s="20">
        <f t="shared" ref="C220:K220" si="114">SUM(C218:C219)</f>
        <v>-187150.77339525404</v>
      </c>
      <c r="D220" s="20">
        <f t="shared" si="114"/>
        <v>-215793.17775688355</v>
      </c>
      <c r="E220" s="20">
        <f t="shared" si="114"/>
        <v>-249078.00315820711</v>
      </c>
      <c r="F220" s="20">
        <f t="shared" si="114"/>
        <v>-274794.86772926949</v>
      </c>
      <c r="G220" s="20">
        <f t="shared" si="114"/>
        <v>-276553.21299368638</v>
      </c>
      <c r="H220" s="20">
        <f t="shared" si="114"/>
        <v>-276971.1410826231</v>
      </c>
      <c r="I220" s="20">
        <f t="shared" si="114"/>
        <v>-274491.15694215067</v>
      </c>
      <c r="J220" s="20">
        <f t="shared" si="114"/>
        <v>-270879.96539218543</v>
      </c>
      <c r="K220" s="20">
        <f t="shared" si="114"/>
        <v>-268812.9809155339</v>
      </c>
      <c r="N220" s="15"/>
    </row>
    <row r="221" spans="2:14" s="100" customFormat="1" hidden="1" outlineLevel="1">
      <c r="B221" s="264" t="s">
        <v>425</v>
      </c>
      <c r="C221" s="265">
        <f t="shared" ref="C221:K221" si="115">IF(C220&lt;0, 0, C220)</f>
        <v>0</v>
      </c>
      <c r="D221" s="265">
        <f t="shared" si="115"/>
        <v>0</v>
      </c>
      <c r="E221" s="265">
        <f t="shared" si="115"/>
        <v>0</v>
      </c>
      <c r="F221" s="265">
        <f t="shared" si="115"/>
        <v>0</v>
      </c>
      <c r="G221" s="265">
        <f t="shared" si="115"/>
        <v>0</v>
      </c>
      <c r="H221" s="265">
        <f t="shared" si="115"/>
        <v>0</v>
      </c>
      <c r="I221" s="265">
        <f t="shared" si="115"/>
        <v>0</v>
      </c>
      <c r="J221" s="265">
        <f t="shared" si="115"/>
        <v>0</v>
      </c>
      <c r="K221" s="265">
        <f t="shared" si="115"/>
        <v>0</v>
      </c>
      <c r="M221" s="60"/>
      <c r="N221" s="15"/>
    </row>
    <row r="222" spans="2:14" ht="3.75" hidden="1" customHeight="1" outlineLevel="1">
      <c r="N222" s="15"/>
    </row>
    <row r="223" spans="2:14" s="100" customFormat="1" hidden="1" outlineLevel="1">
      <c r="B223" s="264" t="s">
        <v>192</v>
      </c>
      <c r="C223" s="264"/>
      <c r="D223" s="264"/>
      <c r="E223" s="264"/>
      <c r="F223" s="264"/>
      <c r="G223" s="264"/>
      <c r="H223" s="264"/>
      <c r="I223" s="264"/>
      <c r="J223" s="264"/>
      <c r="K223" s="264"/>
      <c r="M223" s="60"/>
      <c r="N223" s="15"/>
    </row>
    <row r="224" spans="2:14" hidden="1" outlineLevel="1">
      <c r="B224" s="19" t="s">
        <v>427</v>
      </c>
      <c r="C224" s="20">
        <f>-Overheads!D149* 0.25</f>
        <v>-1757.38</v>
      </c>
      <c r="D224" s="20">
        <f>-Overheads!E149* 0.25</f>
        <v>-1817.4567000000002</v>
      </c>
      <c r="E224" s="20">
        <f>-Overheads!F149* 0.25</f>
        <v>-1876.2913130000002</v>
      </c>
      <c r="F224" s="20">
        <f>-Overheads!G149* 0.25</f>
        <v>-1962.1091247100003</v>
      </c>
      <c r="G224" s="20">
        <f>-Overheads!H149* 0.25</f>
        <v>-2025.8674461089006</v>
      </c>
      <c r="H224" s="20">
        <f>-Overheads!I149* 0.25</f>
        <v>-2091.7412897360709</v>
      </c>
      <c r="I224" s="20">
        <f>-Overheads!J149* 0.25</f>
        <v>-2159.8023715754139</v>
      </c>
      <c r="J224" s="20">
        <f>-Overheads!K149* 0.25</f>
        <v>-2230.1248918912988</v>
      </c>
      <c r="K224" s="20">
        <f>-Overheads!L149* 0.25</f>
        <v>-2302.785623124787</v>
      </c>
      <c r="N224" s="15"/>
    </row>
    <row r="225" spans="2:14" hidden="1" outlineLevel="1">
      <c r="B225" s="19" t="s">
        <v>233</v>
      </c>
      <c r="C225" s="20">
        <v>0</v>
      </c>
      <c r="D225" s="20">
        <f t="shared" ref="D225" si="116">C226</f>
        <v>-1757.38</v>
      </c>
      <c r="E225" s="20">
        <f t="shared" ref="E225" si="117">D226</f>
        <v>-3574.8367000000003</v>
      </c>
      <c r="F225" s="20">
        <f t="shared" ref="F225" si="118">E226</f>
        <v>-5451.1280130000005</v>
      </c>
      <c r="G225" s="20">
        <f t="shared" ref="G225" si="119">F226</f>
        <v>-7413.2371377100008</v>
      </c>
      <c r="H225" s="20">
        <f t="shared" ref="H225" si="120">G226</f>
        <v>-9439.104583818902</v>
      </c>
      <c r="I225" s="20">
        <f t="shared" ref="I225" si="121">H226</f>
        <v>-11530.845873554972</v>
      </c>
      <c r="J225" s="20">
        <f t="shared" ref="J225" si="122">I226</f>
        <v>-13690.648245130385</v>
      </c>
      <c r="K225" s="20">
        <f t="shared" ref="K225" si="123">J226</f>
        <v>-15920.773137021684</v>
      </c>
      <c r="N225" s="15"/>
    </row>
    <row r="226" spans="2:14" hidden="1" outlineLevel="1">
      <c r="B226" s="19" t="s">
        <v>426</v>
      </c>
      <c r="C226" s="20">
        <f t="shared" ref="C226:K226" si="124">SUM(C224:C225)</f>
        <v>-1757.38</v>
      </c>
      <c r="D226" s="20">
        <f t="shared" si="124"/>
        <v>-3574.8367000000003</v>
      </c>
      <c r="E226" s="20">
        <f t="shared" si="124"/>
        <v>-5451.1280130000005</v>
      </c>
      <c r="F226" s="20">
        <f t="shared" si="124"/>
        <v>-7413.2371377100008</v>
      </c>
      <c r="G226" s="20">
        <f t="shared" si="124"/>
        <v>-9439.104583818902</v>
      </c>
      <c r="H226" s="20">
        <f t="shared" si="124"/>
        <v>-11530.845873554972</v>
      </c>
      <c r="I226" s="20">
        <f t="shared" si="124"/>
        <v>-13690.648245130385</v>
      </c>
      <c r="J226" s="20">
        <f t="shared" si="124"/>
        <v>-15920.773137021684</v>
      </c>
      <c r="K226" s="20">
        <f t="shared" si="124"/>
        <v>-18223.558760146472</v>
      </c>
      <c r="N226" s="15"/>
    </row>
    <row r="227" spans="2:14" s="100" customFormat="1" hidden="1" outlineLevel="1">
      <c r="B227" s="264" t="s">
        <v>425</v>
      </c>
      <c r="C227" s="265">
        <f t="shared" ref="C227:K227" si="125">IF(C226&lt;0, 0, C226)</f>
        <v>0</v>
      </c>
      <c r="D227" s="265">
        <f t="shared" si="125"/>
        <v>0</v>
      </c>
      <c r="E227" s="265">
        <f t="shared" si="125"/>
        <v>0</v>
      </c>
      <c r="F227" s="265">
        <f t="shared" si="125"/>
        <v>0</v>
      </c>
      <c r="G227" s="265">
        <f t="shared" si="125"/>
        <v>0</v>
      </c>
      <c r="H227" s="265">
        <f t="shared" si="125"/>
        <v>0</v>
      </c>
      <c r="I227" s="265">
        <f t="shared" si="125"/>
        <v>0</v>
      </c>
      <c r="J227" s="265">
        <f t="shared" si="125"/>
        <v>0</v>
      </c>
      <c r="K227" s="265">
        <f t="shared" si="125"/>
        <v>0</v>
      </c>
      <c r="M227" s="60"/>
      <c r="N227" s="15"/>
    </row>
    <row r="228" spans="2:14" ht="3.75" hidden="1" customHeight="1" outlineLevel="1">
      <c r="N228" s="15"/>
    </row>
    <row r="229" spans="2:14" s="100" customFormat="1" hidden="1" outlineLevel="1">
      <c r="B229" s="264" t="s">
        <v>340</v>
      </c>
      <c r="C229" s="264"/>
      <c r="D229" s="264"/>
      <c r="E229" s="264"/>
      <c r="F229" s="264"/>
      <c r="G229" s="264"/>
      <c r="H229" s="264"/>
      <c r="I229" s="264"/>
      <c r="J229" s="264"/>
      <c r="K229" s="264"/>
      <c r="M229" s="60"/>
      <c r="N229" s="15"/>
    </row>
    <row r="230" spans="2:14" hidden="1" outlineLevel="1">
      <c r="B230" s="19" t="s">
        <v>427</v>
      </c>
      <c r="C230" s="20"/>
      <c r="D230" s="20"/>
      <c r="E230" s="20"/>
      <c r="F230" s="20"/>
      <c r="G230" s="20"/>
      <c r="H230" s="20"/>
      <c r="I230" s="20"/>
      <c r="J230" s="20"/>
      <c r="K230" s="20"/>
      <c r="M230" s="259"/>
      <c r="N230" s="15"/>
    </row>
    <row r="231" spans="2:14" hidden="1" outlineLevel="1">
      <c r="B231" s="19" t="s">
        <v>233</v>
      </c>
      <c r="C231" s="20"/>
      <c r="D231" s="20"/>
      <c r="E231" s="20"/>
      <c r="F231" s="20"/>
      <c r="G231" s="20"/>
      <c r="H231" s="20"/>
      <c r="I231" s="20"/>
      <c r="J231" s="20"/>
      <c r="K231" s="20"/>
      <c r="N231" s="15"/>
    </row>
    <row r="232" spans="2:14" hidden="1" outlineLevel="1">
      <c r="B232" s="19" t="s">
        <v>426</v>
      </c>
      <c r="C232" s="20"/>
      <c r="D232" s="20"/>
      <c r="E232" s="20"/>
      <c r="F232" s="20"/>
      <c r="G232" s="20"/>
      <c r="H232" s="20"/>
      <c r="I232" s="20"/>
      <c r="J232" s="20"/>
      <c r="K232" s="20"/>
      <c r="N232" s="15"/>
    </row>
    <row r="233" spans="2:14" s="100" customFormat="1" hidden="1" outlineLevel="1">
      <c r="B233" s="264" t="s">
        <v>425</v>
      </c>
      <c r="C233" s="265">
        <f>_xlfn.XLOOKUP(C$5, 'Project Eureka ROI'!$F$21:$AL$21, 'Project Eureka ROI'!$F$155:$AL$155, 0)</f>
        <v>0</v>
      </c>
      <c r="D233" s="265">
        <f>_xlfn.XLOOKUP(D$5, 'Project Eureka ROI'!$F$21:$AL$21, 'Project Eureka ROI'!$F$155:$AL$155, 0)</f>
        <v>0</v>
      </c>
      <c r="E233" s="265">
        <f>_xlfn.XLOOKUP(E$5, 'Project Eureka ROI'!$F$21:$AL$21, 'Project Eureka ROI'!$F$155:$AL$155, 0)</f>
        <v>0</v>
      </c>
      <c r="F233" s="265">
        <f>_xlfn.XLOOKUP(F$5, 'Project Eureka ROI'!$F$21:$AL$21, 'Project Eureka ROI'!$F$155:$AL$155, 0)</f>
        <v>5966.6844873265418</v>
      </c>
      <c r="G233" s="265">
        <f>_xlfn.XLOOKUP(G$5, 'Project Eureka ROI'!$F$21:$AL$21, 'Project Eureka ROI'!$F$155:$AL$155, 0)</f>
        <v>12758.852692566532</v>
      </c>
      <c r="H233" s="265">
        <f>_xlfn.XLOOKUP(H$5, 'Project Eureka ROI'!$F$21:$AL$21, 'Project Eureka ROI'!$F$155:$AL$155, 0)</f>
        <v>13522.88622328308</v>
      </c>
      <c r="I233" s="265">
        <f>_xlfn.XLOOKUP(I$5, 'Project Eureka ROI'!$F$21:$AL$21, 'Project Eureka ROI'!$F$155:$AL$155, 0)</f>
        <v>13963.550894651307</v>
      </c>
      <c r="J233" s="265">
        <f>_xlfn.XLOOKUP(J$5, 'Project Eureka ROI'!$F$21:$AL$21, 'Project Eureka ROI'!$F$155:$AL$155, 0)</f>
        <v>14090.020658737212</v>
      </c>
      <c r="K233" s="265">
        <f>_xlfn.XLOOKUP(K$5, 'Project Eureka ROI'!$F$21:$AL$21, 'Project Eureka ROI'!$F$155:$AL$155, 0)</f>
        <v>14311.009898956581</v>
      </c>
      <c r="M233" s="60"/>
      <c r="N233" s="15"/>
    </row>
    <row r="234" spans="2:14" ht="3.75" hidden="1" customHeight="1" outlineLevel="1">
      <c r="N234" s="15"/>
    </row>
    <row r="235" spans="2:14" s="100" customFormat="1" hidden="1" outlineLevel="1">
      <c r="B235" s="264" t="s">
        <v>73</v>
      </c>
      <c r="C235" s="264"/>
      <c r="D235" s="264"/>
      <c r="E235" s="264"/>
      <c r="F235" s="264"/>
      <c r="G235" s="264"/>
      <c r="H235" s="264"/>
      <c r="I235" s="264"/>
      <c r="J235" s="264"/>
      <c r="K235" s="264"/>
      <c r="M235" s="60"/>
      <c r="N235" s="15"/>
    </row>
    <row r="236" spans="2:14" hidden="1" outlineLevel="1">
      <c r="B236" s="19" t="s">
        <v>427</v>
      </c>
      <c r="C236" s="20">
        <f t="shared" ref="C236:K236" si="126">(C195)  * 0.25</f>
        <v>-4015.9859403921268</v>
      </c>
      <c r="D236" s="20">
        <f t="shared" si="126"/>
        <v>-166.35855708632653</v>
      </c>
      <c r="E236" s="20">
        <f t="shared" si="126"/>
        <v>21.651756284581751</v>
      </c>
      <c r="F236" s="20">
        <f t="shared" si="126"/>
        <v>0</v>
      </c>
      <c r="G236" s="20">
        <f t="shared" si="126"/>
        <v>0</v>
      </c>
      <c r="H236" s="20">
        <f t="shared" si="126"/>
        <v>0</v>
      </c>
      <c r="I236" s="20">
        <f t="shared" si="126"/>
        <v>0</v>
      </c>
      <c r="J236" s="20">
        <f t="shared" si="126"/>
        <v>0</v>
      </c>
      <c r="K236" s="20">
        <f t="shared" si="126"/>
        <v>0</v>
      </c>
      <c r="N236" s="15"/>
    </row>
    <row r="237" spans="2:14" hidden="1" outlineLevel="1">
      <c r="B237" s="19" t="s">
        <v>233</v>
      </c>
      <c r="C237" s="20">
        <v>0</v>
      </c>
      <c r="D237" s="20">
        <f t="shared" ref="D237:K237" si="127">C238</f>
        <v>-4015.9859403921268</v>
      </c>
      <c r="E237" s="20">
        <f t="shared" si="127"/>
        <v>-4182.3444974784534</v>
      </c>
      <c r="F237" s="20">
        <f t="shared" si="127"/>
        <v>-4160.6927411938714</v>
      </c>
      <c r="G237" s="20">
        <f t="shared" si="127"/>
        <v>-4160.6927411938714</v>
      </c>
      <c r="H237" s="20">
        <f t="shared" si="127"/>
        <v>-4160.6927411938714</v>
      </c>
      <c r="I237" s="20">
        <f t="shared" si="127"/>
        <v>-4160.6927411938714</v>
      </c>
      <c r="J237" s="20">
        <f t="shared" si="127"/>
        <v>-4160.6927411938714</v>
      </c>
      <c r="K237" s="20">
        <f t="shared" si="127"/>
        <v>-4160.6927411938714</v>
      </c>
      <c r="N237" s="15"/>
    </row>
    <row r="238" spans="2:14" hidden="1" outlineLevel="1">
      <c r="B238" s="19" t="s">
        <v>426</v>
      </c>
      <c r="C238" s="20">
        <f t="shared" ref="C238:K238" si="128">SUM(C236:C237)</f>
        <v>-4015.9859403921268</v>
      </c>
      <c r="D238" s="20">
        <f t="shared" si="128"/>
        <v>-4182.3444974784534</v>
      </c>
      <c r="E238" s="20">
        <f t="shared" si="128"/>
        <v>-4160.6927411938714</v>
      </c>
      <c r="F238" s="20">
        <f t="shared" si="128"/>
        <v>-4160.6927411938714</v>
      </c>
      <c r="G238" s="20">
        <f t="shared" si="128"/>
        <v>-4160.6927411938714</v>
      </c>
      <c r="H238" s="20">
        <f t="shared" si="128"/>
        <v>-4160.6927411938714</v>
      </c>
      <c r="I238" s="20">
        <f t="shared" si="128"/>
        <v>-4160.6927411938714</v>
      </c>
      <c r="J238" s="20">
        <f t="shared" si="128"/>
        <v>-4160.6927411938714</v>
      </c>
      <c r="K238" s="20">
        <f t="shared" si="128"/>
        <v>-4160.6927411938714</v>
      </c>
      <c r="N238" s="15"/>
    </row>
    <row r="239" spans="2:14" s="100" customFormat="1" hidden="1" outlineLevel="1">
      <c r="B239" s="264" t="s">
        <v>425</v>
      </c>
      <c r="C239" s="265">
        <f t="shared" ref="C239:K239" si="129">IF(C238&lt;0, 0, C238)</f>
        <v>0</v>
      </c>
      <c r="D239" s="265">
        <f t="shared" si="129"/>
        <v>0</v>
      </c>
      <c r="E239" s="265">
        <f t="shared" si="129"/>
        <v>0</v>
      </c>
      <c r="F239" s="265">
        <f t="shared" si="129"/>
        <v>0</v>
      </c>
      <c r="G239" s="265">
        <f t="shared" si="129"/>
        <v>0</v>
      </c>
      <c r="H239" s="265">
        <f t="shared" si="129"/>
        <v>0</v>
      </c>
      <c r="I239" s="265">
        <f t="shared" si="129"/>
        <v>0</v>
      </c>
      <c r="J239" s="265">
        <f t="shared" si="129"/>
        <v>0</v>
      </c>
      <c r="K239" s="265">
        <f t="shared" si="129"/>
        <v>0</v>
      </c>
      <c r="M239" s="60"/>
      <c r="N239" s="15"/>
    </row>
    <row r="240" spans="2:14" ht="3.75" hidden="1" customHeight="1" outlineLevel="1">
      <c r="N240" s="15"/>
    </row>
    <row r="241" spans="2:14" s="100" customFormat="1" hidden="1" outlineLevel="1">
      <c r="B241" s="264" t="s">
        <v>74</v>
      </c>
      <c r="C241" s="264"/>
      <c r="D241" s="264"/>
      <c r="E241" s="264"/>
      <c r="F241" s="264"/>
      <c r="G241" s="264"/>
      <c r="H241" s="264"/>
      <c r="I241" s="264"/>
      <c r="J241" s="264"/>
      <c r="K241" s="264"/>
      <c r="M241" s="60"/>
      <c r="N241" s="15"/>
    </row>
    <row r="242" spans="2:14" hidden="1" outlineLevel="1">
      <c r="B242" s="19" t="s">
        <v>427</v>
      </c>
      <c r="C242" s="20">
        <f t="shared" ref="C242:K242" si="130">(C196)  * 0.25</f>
        <v>0</v>
      </c>
      <c r="D242" s="20">
        <f t="shared" si="130"/>
        <v>0</v>
      </c>
      <c r="E242" s="20">
        <f t="shared" si="130"/>
        <v>0</v>
      </c>
      <c r="F242" s="20">
        <f t="shared" si="130"/>
        <v>0</v>
      </c>
      <c r="G242" s="20">
        <f t="shared" si="130"/>
        <v>0</v>
      </c>
      <c r="H242" s="20">
        <f t="shared" si="130"/>
        <v>0</v>
      </c>
      <c r="I242" s="20">
        <f t="shared" si="130"/>
        <v>0</v>
      </c>
      <c r="J242" s="20">
        <f t="shared" si="130"/>
        <v>0</v>
      </c>
      <c r="K242" s="20">
        <f t="shared" si="130"/>
        <v>0</v>
      </c>
      <c r="N242" s="15"/>
    </row>
    <row r="243" spans="2:14" hidden="1" outlineLevel="1">
      <c r="B243" s="19" t="s">
        <v>233</v>
      </c>
      <c r="C243" s="20">
        <v>0</v>
      </c>
      <c r="D243" s="20">
        <f t="shared" ref="D243:K243" si="131">C244</f>
        <v>0</v>
      </c>
      <c r="E243" s="20">
        <f t="shared" si="131"/>
        <v>0</v>
      </c>
      <c r="F243" s="20">
        <f t="shared" si="131"/>
        <v>0</v>
      </c>
      <c r="G243" s="20">
        <f t="shared" si="131"/>
        <v>0</v>
      </c>
      <c r="H243" s="20">
        <f t="shared" si="131"/>
        <v>0</v>
      </c>
      <c r="I243" s="20">
        <f t="shared" si="131"/>
        <v>0</v>
      </c>
      <c r="J243" s="20">
        <f t="shared" si="131"/>
        <v>0</v>
      </c>
      <c r="K243" s="20">
        <f t="shared" si="131"/>
        <v>0</v>
      </c>
      <c r="N243" s="15"/>
    </row>
    <row r="244" spans="2:14" hidden="1" outlineLevel="1">
      <c r="B244" s="19" t="s">
        <v>426</v>
      </c>
      <c r="C244" s="20">
        <f t="shared" ref="C244:K244" si="132">SUM(C242:C243)</f>
        <v>0</v>
      </c>
      <c r="D244" s="20">
        <f t="shared" si="132"/>
        <v>0</v>
      </c>
      <c r="E244" s="20">
        <f t="shared" si="132"/>
        <v>0</v>
      </c>
      <c r="F244" s="20">
        <f t="shared" si="132"/>
        <v>0</v>
      </c>
      <c r="G244" s="20">
        <f t="shared" si="132"/>
        <v>0</v>
      </c>
      <c r="H244" s="20">
        <f t="shared" si="132"/>
        <v>0</v>
      </c>
      <c r="I244" s="20">
        <f t="shared" si="132"/>
        <v>0</v>
      </c>
      <c r="J244" s="20">
        <f t="shared" si="132"/>
        <v>0</v>
      </c>
      <c r="K244" s="20">
        <f t="shared" si="132"/>
        <v>0</v>
      </c>
      <c r="N244" s="15"/>
    </row>
    <row r="245" spans="2:14" s="100" customFormat="1" hidden="1" outlineLevel="1">
      <c r="B245" s="264" t="s">
        <v>425</v>
      </c>
      <c r="C245" s="265">
        <f t="shared" ref="C245:K245" si="133">IF(C244&lt;0, 0, C244)</f>
        <v>0</v>
      </c>
      <c r="D245" s="265">
        <f t="shared" si="133"/>
        <v>0</v>
      </c>
      <c r="E245" s="265">
        <f t="shared" si="133"/>
        <v>0</v>
      </c>
      <c r="F245" s="265">
        <f t="shared" si="133"/>
        <v>0</v>
      </c>
      <c r="G245" s="265">
        <f t="shared" si="133"/>
        <v>0</v>
      </c>
      <c r="H245" s="265">
        <f t="shared" si="133"/>
        <v>0</v>
      </c>
      <c r="I245" s="265">
        <f t="shared" si="133"/>
        <v>0</v>
      </c>
      <c r="J245" s="265">
        <f t="shared" si="133"/>
        <v>0</v>
      </c>
      <c r="K245" s="265">
        <f t="shared" si="133"/>
        <v>0</v>
      </c>
      <c r="M245" s="60"/>
      <c r="N245" s="15"/>
    </row>
    <row r="246" spans="2:14" ht="3.75" hidden="1" customHeight="1" outlineLevel="1">
      <c r="N246" s="15"/>
    </row>
    <row r="247" spans="2:14" s="100" customFormat="1" hidden="1" outlineLevel="1">
      <c r="B247" s="264" t="s">
        <v>437</v>
      </c>
      <c r="C247" s="264"/>
      <c r="D247" s="264"/>
      <c r="E247" s="264"/>
      <c r="F247" s="264"/>
      <c r="G247" s="264"/>
      <c r="H247" s="264"/>
      <c r="I247" s="264"/>
      <c r="J247" s="264"/>
      <c r="K247" s="264"/>
      <c r="M247" s="60"/>
      <c r="N247" s="15"/>
    </row>
    <row r="248" spans="2:14" hidden="1" outlineLevel="1">
      <c r="B248" s="19" t="s">
        <v>427</v>
      </c>
      <c r="C248" s="20">
        <f t="shared" ref="C248:K248" si="134">(C197)  * 0.25</f>
        <v>0</v>
      </c>
      <c r="D248" s="20">
        <f t="shared" si="134"/>
        <v>0</v>
      </c>
      <c r="E248" s="20">
        <f t="shared" si="134"/>
        <v>0</v>
      </c>
      <c r="F248" s="20">
        <f t="shared" si="134"/>
        <v>0</v>
      </c>
      <c r="G248" s="20">
        <f t="shared" si="134"/>
        <v>0</v>
      </c>
      <c r="H248" s="20">
        <f t="shared" si="134"/>
        <v>0</v>
      </c>
      <c r="I248" s="20">
        <f t="shared" si="134"/>
        <v>0</v>
      </c>
      <c r="J248" s="20">
        <f t="shared" si="134"/>
        <v>0</v>
      </c>
      <c r="K248" s="20">
        <f t="shared" si="134"/>
        <v>0</v>
      </c>
      <c r="N248" s="15"/>
    </row>
    <row r="249" spans="2:14" hidden="1" outlineLevel="1">
      <c r="B249" s="19" t="s">
        <v>233</v>
      </c>
      <c r="C249" s="20">
        <v>0</v>
      </c>
      <c r="D249" s="20">
        <f t="shared" ref="D249:J249" si="135">C250</f>
        <v>0</v>
      </c>
      <c r="E249" s="20">
        <f t="shared" si="135"/>
        <v>0</v>
      </c>
      <c r="F249" s="20">
        <f t="shared" si="135"/>
        <v>0</v>
      </c>
      <c r="G249" s="20">
        <f t="shared" si="135"/>
        <v>0</v>
      </c>
      <c r="H249" s="20">
        <f t="shared" si="135"/>
        <v>0</v>
      </c>
      <c r="I249" s="20">
        <f t="shared" si="135"/>
        <v>0</v>
      </c>
      <c r="J249" s="20">
        <f t="shared" si="135"/>
        <v>0</v>
      </c>
      <c r="K249" s="20"/>
      <c r="N249" s="15"/>
    </row>
    <row r="250" spans="2:14" hidden="1" outlineLevel="1">
      <c r="B250" s="19" t="s">
        <v>426</v>
      </c>
      <c r="C250" s="20">
        <f t="shared" ref="C250:K250" si="136">SUM(C248:C249)</f>
        <v>0</v>
      </c>
      <c r="D250" s="20">
        <f t="shared" si="136"/>
        <v>0</v>
      </c>
      <c r="E250" s="20">
        <f t="shared" si="136"/>
        <v>0</v>
      </c>
      <c r="F250" s="20">
        <f t="shared" si="136"/>
        <v>0</v>
      </c>
      <c r="G250" s="20">
        <f t="shared" si="136"/>
        <v>0</v>
      </c>
      <c r="H250" s="20">
        <f t="shared" si="136"/>
        <v>0</v>
      </c>
      <c r="I250" s="20">
        <f t="shared" si="136"/>
        <v>0</v>
      </c>
      <c r="J250" s="20">
        <f t="shared" si="136"/>
        <v>0</v>
      </c>
      <c r="K250" s="20">
        <f t="shared" si="136"/>
        <v>0</v>
      </c>
      <c r="N250" s="15"/>
    </row>
    <row r="251" spans="2:14" s="100" customFormat="1" hidden="1" outlineLevel="1">
      <c r="B251" s="264" t="s">
        <v>425</v>
      </c>
      <c r="C251" s="265">
        <f t="shared" ref="C251:K251" si="137">IF(C250&lt;0, 0, C250)</f>
        <v>0</v>
      </c>
      <c r="D251" s="265">
        <f t="shared" si="137"/>
        <v>0</v>
      </c>
      <c r="E251" s="265">
        <f t="shared" si="137"/>
        <v>0</v>
      </c>
      <c r="F251" s="265">
        <f t="shared" si="137"/>
        <v>0</v>
      </c>
      <c r="G251" s="265">
        <f t="shared" si="137"/>
        <v>0</v>
      </c>
      <c r="H251" s="265">
        <f t="shared" si="137"/>
        <v>0</v>
      </c>
      <c r="I251" s="265">
        <f t="shared" si="137"/>
        <v>0</v>
      </c>
      <c r="J251" s="265">
        <f t="shared" si="137"/>
        <v>0</v>
      </c>
      <c r="K251" s="265">
        <f t="shared" si="137"/>
        <v>0</v>
      </c>
      <c r="M251" s="60"/>
      <c r="N251" s="15"/>
    </row>
    <row r="252" spans="2:14" ht="3.75" hidden="1" customHeight="1" outlineLevel="1">
      <c r="N252" s="15"/>
    </row>
    <row r="253" spans="2:14" s="100" customFormat="1" hidden="1" outlineLevel="1">
      <c r="B253" s="264" t="s">
        <v>75</v>
      </c>
      <c r="C253" s="264"/>
      <c r="D253" s="264"/>
      <c r="E253" s="264"/>
      <c r="F253" s="264"/>
      <c r="G253" s="264"/>
      <c r="H253" s="264"/>
      <c r="I253" s="264"/>
      <c r="J253" s="264"/>
      <c r="K253" s="264"/>
      <c r="M253" s="60"/>
      <c r="N253" s="15"/>
    </row>
    <row r="254" spans="2:14" hidden="1" outlineLevel="1">
      <c r="B254" s="19" t="s">
        <v>427</v>
      </c>
      <c r="C254" s="20">
        <f t="shared" ref="C254:K254" si="138">(C198)  * 0.25</f>
        <v>-6592.8355410955173</v>
      </c>
      <c r="D254" s="20">
        <f t="shared" si="138"/>
        <v>-3414.0848977335477</v>
      </c>
      <c r="E254" s="20">
        <f t="shared" si="138"/>
        <v>-1906.1713182479184</v>
      </c>
      <c r="F254" s="20">
        <f t="shared" si="138"/>
        <v>2456.0614848080959</v>
      </c>
      <c r="G254" s="20">
        <f t="shared" si="138"/>
        <v>1410.397013867424</v>
      </c>
      <c r="H254" s="20">
        <f t="shared" si="138"/>
        <v>1764.2480217048476</v>
      </c>
      <c r="I254" s="20">
        <f t="shared" si="138"/>
        <v>2093.1679326029816</v>
      </c>
      <c r="J254" s="20">
        <f t="shared" si="138"/>
        <v>2535.1237658923719</v>
      </c>
      <c r="K254" s="20">
        <f t="shared" si="138"/>
        <v>2969.2063501268831</v>
      </c>
      <c r="N254" s="15"/>
    </row>
    <row r="255" spans="2:14" hidden="1" outlineLevel="1">
      <c r="B255" s="19" t="s">
        <v>233</v>
      </c>
      <c r="C255" s="20">
        <v>0</v>
      </c>
      <c r="D255" s="20">
        <f t="shared" ref="D255:K255" si="139">C256</f>
        <v>-6592.8355410955173</v>
      </c>
      <c r="E255" s="20">
        <f t="shared" si="139"/>
        <v>-10006.920438829065</v>
      </c>
      <c r="F255" s="20">
        <f t="shared" si="139"/>
        <v>-11913.091757076983</v>
      </c>
      <c r="G255" s="20">
        <f t="shared" si="139"/>
        <v>-9457.0302722688866</v>
      </c>
      <c r="H255" s="20">
        <f t="shared" si="139"/>
        <v>-8046.6332584014626</v>
      </c>
      <c r="I255" s="20">
        <f t="shared" si="139"/>
        <v>-6282.3852366966148</v>
      </c>
      <c r="J255" s="20">
        <f t="shared" si="139"/>
        <v>-4189.2173040936332</v>
      </c>
      <c r="K255" s="20">
        <f t="shared" si="139"/>
        <v>-1654.0935382012613</v>
      </c>
      <c r="N255" s="15"/>
    </row>
    <row r="256" spans="2:14" hidden="1" outlineLevel="1">
      <c r="B256" s="19" t="s">
        <v>426</v>
      </c>
      <c r="C256" s="20">
        <f t="shared" ref="C256:K256" si="140">SUM(C254:C255)</f>
        <v>-6592.8355410955173</v>
      </c>
      <c r="D256" s="20">
        <f t="shared" si="140"/>
        <v>-10006.920438829065</v>
      </c>
      <c r="E256" s="20">
        <f t="shared" si="140"/>
        <v>-11913.091757076983</v>
      </c>
      <c r="F256" s="20">
        <f t="shared" si="140"/>
        <v>-9457.0302722688866</v>
      </c>
      <c r="G256" s="20">
        <f t="shared" si="140"/>
        <v>-8046.6332584014626</v>
      </c>
      <c r="H256" s="20">
        <f t="shared" si="140"/>
        <v>-6282.3852366966148</v>
      </c>
      <c r="I256" s="20">
        <f t="shared" si="140"/>
        <v>-4189.2173040936332</v>
      </c>
      <c r="J256" s="20">
        <f t="shared" si="140"/>
        <v>-1654.0935382012613</v>
      </c>
      <c r="K256" s="20">
        <f t="shared" si="140"/>
        <v>1315.1128119256218</v>
      </c>
      <c r="N256" s="15"/>
    </row>
    <row r="257" spans="2:14" s="100" customFormat="1" hidden="1" outlineLevel="1">
      <c r="B257" s="264" t="s">
        <v>425</v>
      </c>
      <c r="C257" s="265">
        <f t="shared" ref="C257:K257" si="141">IF(C256&lt;0, 0, C256)</f>
        <v>0</v>
      </c>
      <c r="D257" s="265">
        <f t="shared" si="141"/>
        <v>0</v>
      </c>
      <c r="E257" s="265">
        <f t="shared" si="141"/>
        <v>0</v>
      </c>
      <c r="F257" s="265">
        <f t="shared" si="141"/>
        <v>0</v>
      </c>
      <c r="G257" s="265">
        <f t="shared" si="141"/>
        <v>0</v>
      </c>
      <c r="H257" s="265">
        <f t="shared" si="141"/>
        <v>0</v>
      </c>
      <c r="I257" s="265">
        <f t="shared" si="141"/>
        <v>0</v>
      </c>
      <c r="J257" s="265">
        <f t="shared" si="141"/>
        <v>0</v>
      </c>
      <c r="K257" s="265">
        <f t="shared" si="141"/>
        <v>1315.1128119256218</v>
      </c>
      <c r="M257" s="60"/>
      <c r="N257" s="15"/>
    </row>
    <row r="258" spans="2:14" ht="3.75" hidden="1" customHeight="1" outlineLevel="1">
      <c r="N258" s="15"/>
    </row>
    <row r="259" spans="2:14" s="15" customFormat="1" collapsed="1">
      <c r="B259" s="28" t="s">
        <v>237</v>
      </c>
      <c r="C259" s="29"/>
      <c r="D259" s="29"/>
      <c r="E259" s="29"/>
      <c r="F259" s="29"/>
      <c r="G259" s="29"/>
      <c r="H259" s="29"/>
      <c r="I259" s="29"/>
      <c r="J259" s="29"/>
      <c r="K259" s="29"/>
      <c r="M259" s="21"/>
    </row>
    <row r="260" spans="2:14">
      <c r="B260" s="19"/>
      <c r="C260" s="22"/>
      <c r="D260" s="22"/>
      <c r="E260" s="22"/>
      <c r="F260" s="22"/>
      <c r="G260" s="22"/>
      <c r="H260" s="22"/>
      <c r="I260" s="22"/>
      <c r="J260" s="22"/>
      <c r="K260" s="22"/>
      <c r="M260" s="21"/>
      <c r="N260" s="15"/>
    </row>
    <row r="261" spans="2:14">
      <c r="B261" s="19"/>
      <c r="C261" s="22"/>
      <c r="D261" s="22"/>
      <c r="E261" s="22"/>
      <c r="F261" s="22"/>
      <c r="G261" s="22"/>
      <c r="H261" s="22"/>
      <c r="I261" s="22"/>
      <c r="J261" s="22"/>
      <c r="K261" s="22"/>
      <c r="M261" s="21"/>
      <c r="N261" s="15"/>
    </row>
    <row r="262" spans="2:14">
      <c r="B262" s="19"/>
      <c r="C262" s="22"/>
      <c r="D262" s="22"/>
      <c r="E262" s="22"/>
      <c r="F262" s="22"/>
      <c r="G262" s="22"/>
      <c r="H262" s="22"/>
      <c r="I262" s="22"/>
      <c r="J262" s="22"/>
      <c r="K262" s="22"/>
      <c r="M262" s="21"/>
      <c r="N262" s="15"/>
    </row>
    <row r="263" spans="2:14" hidden="1" outlineLevel="1">
      <c r="B263" s="437"/>
      <c r="C263" s="438"/>
      <c r="D263" s="438"/>
      <c r="E263" s="438"/>
      <c r="F263" s="438"/>
      <c r="G263" s="438"/>
      <c r="H263" s="438"/>
      <c r="I263" s="438"/>
      <c r="J263" s="438"/>
      <c r="K263" s="438"/>
      <c r="M263" s="21"/>
      <c r="N263" s="15"/>
    </row>
    <row r="264" spans="2:14" hidden="1" outlineLevel="1">
      <c r="B264" s="437"/>
      <c r="C264" s="438"/>
      <c r="D264" s="438"/>
      <c r="E264" s="438"/>
      <c r="F264" s="438"/>
      <c r="G264" s="438"/>
      <c r="H264" s="438"/>
      <c r="I264" s="438"/>
      <c r="J264" s="438"/>
      <c r="K264" s="438"/>
      <c r="M264" s="21"/>
      <c r="N264" s="15"/>
    </row>
    <row r="265" spans="2:14" hidden="1" outlineLevel="1">
      <c r="B265" s="437"/>
      <c r="C265" s="438"/>
      <c r="D265" s="438"/>
      <c r="E265" s="438"/>
      <c r="F265" s="438"/>
      <c r="G265" s="438"/>
      <c r="H265" s="438"/>
      <c r="I265" s="438"/>
      <c r="J265" s="438"/>
      <c r="K265" s="438"/>
      <c r="M265" s="21"/>
      <c r="N265" s="15"/>
    </row>
    <row r="266" spans="2:14" collapsed="1">
      <c r="B266" s="19"/>
      <c r="C266" s="22"/>
      <c r="D266" s="22"/>
      <c r="E266" s="22"/>
      <c r="F266" s="22"/>
      <c r="G266" s="22"/>
      <c r="H266" s="22"/>
      <c r="I266" s="22"/>
      <c r="J266" s="22"/>
      <c r="K266" s="22"/>
      <c r="M266" s="21"/>
      <c r="N266" s="15"/>
    </row>
    <row r="267" spans="2:14">
      <c r="B267" s="19"/>
      <c r="C267" s="22"/>
      <c r="D267" s="22"/>
      <c r="E267" s="22"/>
      <c r="F267" s="22"/>
      <c r="G267" s="22"/>
      <c r="H267" s="22"/>
      <c r="I267" s="22"/>
      <c r="J267" s="22"/>
      <c r="K267" s="22"/>
      <c r="M267" s="21"/>
      <c r="N267" s="15"/>
    </row>
    <row r="268" spans="2:14" ht="15" customHeight="1" thickBot="1">
      <c r="B268" s="23" t="str">
        <f>$B$48</f>
        <v>Total</v>
      </c>
      <c r="C268" s="24">
        <f>C200-C213</f>
        <v>-146411.52950696668</v>
      </c>
      <c r="D268" s="24">
        <f t="shared" ref="D268:K268" si="142">D200-D213</f>
        <v>-121569.34826579755</v>
      </c>
      <c r="E268" s="24">
        <f t="shared" si="142"/>
        <v>-132092.03034314758</v>
      </c>
      <c r="F268" s="24">
        <f t="shared" si="142"/>
        <v>-90224.842662643758</v>
      </c>
      <c r="G268" s="24">
        <f t="shared" si="142"/>
        <v>-3851.441752085444</v>
      </c>
      <c r="H268" s="24">
        <f t="shared" si="142"/>
        <v>2891.6418635945738</v>
      </c>
      <c r="I268" s="24">
        <f t="shared" si="142"/>
        <v>16198.954013129704</v>
      </c>
      <c r="J268" s="24">
        <f t="shared" si="142"/>
        <v>21888.681434461872</v>
      </c>
      <c r="K268" s="24">
        <f t="shared" si="142"/>
        <v>15746.862150893063</v>
      </c>
      <c r="M268" s="21"/>
      <c r="N268" s="15"/>
    </row>
    <row r="269" spans="2:14" ht="3.75" customHeight="1">
      <c r="C269" s="14"/>
      <c r="D269" s="14"/>
      <c r="E269" s="14"/>
      <c r="F269" s="14"/>
      <c r="G269" s="14"/>
      <c r="H269" s="14"/>
      <c r="I269" s="14"/>
      <c r="J269" s="14"/>
      <c r="K269" s="14"/>
      <c r="M269" s="21"/>
      <c r="N269" s="15"/>
    </row>
    <row r="270" spans="2:14">
      <c r="C270" s="133"/>
      <c r="D270" s="133"/>
      <c r="E270" s="133"/>
      <c r="F270" s="133"/>
      <c r="G270" s="133"/>
      <c r="H270" s="133"/>
      <c r="I270" s="133"/>
      <c r="J270" s="133"/>
      <c r="K270" s="133"/>
      <c r="N270" s="15"/>
    </row>
    <row r="271" spans="2:14">
      <c r="C271" s="133"/>
      <c r="D271" s="133"/>
      <c r="N271" s="15"/>
    </row>
    <row r="272" spans="2:14">
      <c r="C272" s="133"/>
      <c r="N272" s="15"/>
    </row>
    <row r="273" spans="14:14">
      <c r="N273" s="15"/>
    </row>
    <row r="274" spans="14:14">
      <c r="N274" s="15"/>
    </row>
    <row r="275" spans="14:14">
      <c r="N275" s="15"/>
    </row>
    <row r="276" spans="14:14">
      <c r="N276" s="15"/>
    </row>
    <row r="277" spans="14:14"/>
    <row r="278" spans="14:14"/>
    <row r="279" spans="14:14"/>
    <row r="280" spans="14:14"/>
    <row r="281" spans="14:14"/>
    <row r="282" spans="14:14"/>
    <row r="283" spans="14:14"/>
    <row r="284" spans="14:14"/>
    <row r="285" spans="14:14"/>
    <row r="286" spans="14:14"/>
    <row r="287" spans="14:14"/>
    <row r="288" spans="14:14"/>
    <row r="289"/>
    <row r="290"/>
    <row r="291"/>
    <row r="292"/>
    <row r="293"/>
    <row r="294"/>
    <row r="295"/>
    <row r="296"/>
    <row r="297"/>
    <row r="298"/>
    <row r="299"/>
    <row r="300"/>
    <row r="301"/>
    <row r="302"/>
    <row r="303"/>
    <row r="304"/>
    <row r="305"/>
    <row r="306"/>
    <row r="307"/>
    <row r="308"/>
    <row r="309"/>
    <row r="310"/>
    <row r="311"/>
    <row r="312"/>
  </sheetData>
  <conditionalFormatting sqref="C83:K107">
    <cfRule type="cellIs" dxfId="23" priority="23" operator="greaterThan">
      <formula>0</formula>
    </cfRule>
    <cfRule type="cellIs" dxfId="22" priority="24" operator="lessThan">
      <formula>0</formula>
    </cfRule>
  </conditionalFormatting>
  <conditionalFormatting sqref="C129:K139">
    <cfRule type="cellIs" dxfId="21" priority="17" operator="greaterThan">
      <formula>0</formula>
    </cfRule>
    <cfRule type="cellIs" dxfId="20" priority="18" operator="lessThan">
      <formula>0</formula>
    </cfRule>
  </conditionalFormatting>
  <conditionalFormatting sqref="C142:K149">
    <cfRule type="cellIs" dxfId="19" priority="5" operator="greaterThan">
      <formula>0</formula>
    </cfRule>
    <cfRule type="cellIs" dxfId="18" priority="6" operator="lessThan">
      <formula>0</formula>
    </cfRule>
  </conditionalFormatting>
  <conditionalFormatting sqref="C163:K170">
    <cfRule type="cellIs" dxfId="17" priority="15" operator="greaterThan">
      <formula>0</formula>
    </cfRule>
    <cfRule type="cellIs" dxfId="16" priority="16" operator="lessThan">
      <formula>0</formula>
    </cfRule>
  </conditionalFormatting>
  <conditionalFormatting sqref="C192:K199">
    <cfRule type="cellIs" dxfId="15" priority="7" operator="greaterThan">
      <formula>0</formula>
    </cfRule>
    <cfRule type="cellIs" dxfId="14" priority="8" operator="lessThan">
      <formula>0</formula>
    </cfRule>
  </conditionalFormatting>
  <conditionalFormatting sqref="C208:K210">
    <cfRule type="cellIs" dxfId="13" priority="3" operator="greaterThan">
      <formula>0</formula>
    </cfRule>
    <cfRule type="cellIs" dxfId="12" priority="4" operator="lessThan">
      <formula>0</formula>
    </cfRule>
  </conditionalFormatting>
  <conditionalFormatting sqref="C263:K265">
    <cfRule type="cellIs" dxfId="11" priority="1" operator="greaterThan">
      <formula>0</formula>
    </cfRule>
    <cfRule type="cellIs" dxfId="10" priority="2" operator="lessThan">
      <formula>0</formula>
    </cfRule>
  </conditionalFormatting>
  <pageMargins left="0.7" right="0.7" top="0.75" bottom="0.75" header="0.3" footer="0.3"/>
  <pageSetup scale="54"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275C7-C5D0-4475-90D0-68F5651C637D}">
  <sheetPr>
    <tabColor theme="7" tint="0.79998168889431442"/>
  </sheetPr>
  <dimension ref="A1:Y65"/>
  <sheetViews>
    <sheetView workbookViewId="0"/>
  </sheetViews>
  <sheetFormatPr defaultColWidth="0" defaultRowHeight="13.5" zeroHeight="1"/>
  <cols>
    <col min="1" max="1" width="1.5546875" style="92" customWidth="1"/>
    <col min="2" max="2" width="21.44140625" style="92" customWidth="1"/>
    <col min="3" max="8" width="12.44140625" style="92" customWidth="1"/>
    <col min="9" max="9" width="1.5546875" style="92" customWidth="1"/>
    <col min="10" max="10" width="23" style="92" customWidth="1"/>
    <col min="11" max="16" width="12.44140625" style="92" customWidth="1"/>
    <col min="17" max="17" width="1.5546875" style="92" customWidth="1"/>
    <col min="18" max="18" width="23" style="92" customWidth="1"/>
    <col min="19" max="24" width="12.44140625" style="92" customWidth="1"/>
    <col min="25" max="25" width="1.5546875" style="92" customWidth="1"/>
    <col min="26" max="16384" width="7.44140625" style="92" hidden="1"/>
  </cols>
  <sheetData>
    <row r="1" spans="1:25" s="8" customFormat="1" ht="51.75" customHeight="1">
      <c r="A1" s="452"/>
      <c r="B1" s="10" t="s">
        <v>86</v>
      </c>
      <c r="C1" s="10"/>
      <c r="D1" s="11"/>
      <c r="E1" s="11"/>
      <c r="F1" s="11"/>
      <c r="G1" s="11"/>
      <c r="H1" s="11"/>
      <c r="I1" s="11"/>
      <c r="J1" s="10"/>
      <c r="K1" s="10"/>
      <c r="L1" s="11"/>
      <c r="M1" s="10"/>
      <c r="N1" s="10"/>
      <c r="O1" s="10"/>
      <c r="P1" s="10"/>
      <c r="Q1" s="10"/>
      <c r="R1" s="10"/>
      <c r="S1" s="10"/>
      <c r="T1" s="11"/>
      <c r="U1" s="11"/>
      <c r="V1" s="11"/>
      <c r="W1" s="11"/>
      <c r="X1" s="11"/>
      <c r="Y1" s="11"/>
    </row>
    <row r="2" spans="1:25" s="8" customFormat="1">
      <c r="A2" s="452"/>
      <c r="B2" s="99" t="s">
        <v>87</v>
      </c>
      <c r="C2" s="99"/>
      <c r="D2" s="11"/>
      <c r="E2" s="11"/>
      <c r="F2" s="11"/>
      <c r="G2" s="11"/>
      <c r="H2" s="11"/>
      <c r="I2" s="11"/>
      <c r="J2" s="99"/>
      <c r="K2" s="99"/>
      <c r="L2" s="11"/>
      <c r="M2" s="99"/>
      <c r="N2" s="99"/>
      <c r="O2" s="99"/>
      <c r="P2" s="99"/>
      <c r="Q2" s="99"/>
      <c r="R2" s="99"/>
      <c r="S2" s="99"/>
      <c r="T2" s="11"/>
      <c r="U2" s="11"/>
      <c r="V2" s="11"/>
      <c r="W2" s="11"/>
      <c r="X2" s="11"/>
      <c r="Y2" s="11"/>
    </row>
    <row r="3" spans="1:25" ht="3.75" customHeight="1">
      <c r="A3" s="121"/>
    </row>
    <row r="4" spans="1:25">
      <c r="A4" s="121"/>
      <c r="B4" s="181">
        <f>Ingredients!$D$3</f>
        <v>0</v>
      </c>
      <c r="C4" s="182"/>
      <c r="D4" s="182"/>
      <c r="E4" s="182"/>
      <c r="F4" s="182"/>
      <c r="G4" s="182"/>
      <c r="H4" s="182"/>
      <c r="J4" s="181" t="str">
        <f>Ingredients!$AK$3</f>
        <v>Brazzein</v>
      </c>
      <c r="K4" s="182"/>
      <c r="L4" s="182"/>
      <c r="M4" s="182"/>
      <c r="N4" s="182"/>
      <c r="O4" s="182"/>
      <c r="P4" s="182"/>
      <c r="R4" s="181" t="s">
        <v>69</v>
      </c>
      <c r="S4" s="182"/>
      <c r="T4" s="182"/>
      <c r="U4" s="182"/>
      <c r="V4" s="182"/>
      <c r="W4" s="182"/>
      <c r="X4" s="182"/>
    </row>
    <row r="5" spans="1:25" ht="3.75" customHeight="1"/>
    <row r="6" spans="1:25"/>
    <row r="7" spans="1:25"/>
    <row r="8" spans="1:25"/>
    <row r="9" spans="1:25"/>
    <row r="10" spans="1:25"/>
    <row r="11" spans="1:25"/>
    <row r="12" spans="1:25"/>
    <row r="13" spans="1:25"/>
    <row r="14" spans="1:25"/>
    <row r="15" spans="1:25"/>
    <row r="16" spans="1:25"/>
    <row r="17" spans="2:24"/>
    <row r="18" spans="2:24"/>
    <row r="19" spans="2:24"/>
    <row r="20" spans="2:24"/>
    <row r="21" spans="2:24"/>
    <row r="22" spans="2:24"/>
    <row r="23" spans="2:24"/>
    <row r="24" spans="2:24"/>
    <row r="25" spans="2:24"/>
    <row r="26" spans="2:24" ht="14.25" thickBot="1">
      <c r="B26" s="187" t="s">
        <v>88</v>
      </c>
      <c r="C26" s="188" t="e">
        <f>'PD Global'!#REF!</f>
        <v>#REF!</v>
      </c>
      <c r="D26" s="188">
        <f>'PD Global'!C5</f>
        <v>2023</v>
      </c>
      <c r="E26" s="188">
        <f>'PD Global'!D5</f>
        <v>2024</v>
      </c>
      <c r="F26" s="188">
        <f>'PD Global'!E5</f>
        <v>2025</v>
      </c>
      <c r="G26" s="188">
        <f>'PD Global'!F5</f>
        <v>2026</v>
      </c>
      <c r="H26" s="189" t="e">
        <f>$C$26&amp;" - "&amp;$G$26</f>
        <v>#REF!</v>
      </c>
      <c r="J26" s="187" t="str">
        <f>$B26</f>
        <v>('$m)</v>
      </c>
      <c r="K26" s="188" t="e">
        <f>$C26</f>
        <v>#REF!</v>
      </c>
      <c r="L26" s="188">
        <f>$D26</f>
        <v>2023</v>
      </c>
      <c r="M26" s="188">
        <f>$E26</f>
        <v>2024</v>
      </c>
      <c r="N26" s="188">
        <f>$F26</f>
        <v>2025</v>
      </c>
      <c r="O26" s="188">
        <f>$G26</f>
        <v>2026</v>
      </c>
      <c r="P26" s="189" t="e">
        <f>$H26</f>
        <v>#REF!</v>
      </c>
      <c r="R26" s="187" t="str">
        <f>$B$26</f>
        <v>('$m)</v>
      </c>
      <c r="S26" s="188" t="e">
        <f>$C$26</f>
        <v>#REF!</v>
      </c>
      <c r="T26" s="188">
        <f>$D$26</f>
        <v>2023</v>
      </c>
      <c r="U26" s="188">
        <f>$E$26</f>
        <v>2024</v>
      </c>
      <c r="V26" s="188">
        <f>$F$26</f>
        <v>2025</v>
      </c>
      <c r="W26" s="188">
        <f>$G$26</f>
        <v>2026</v>
      </c>
      <c r="X26" s="189" t="e">
        <f>$H$26</f>
        <v>#REF!</v>
      </c>
    </row>
    <row r="27" spans="2:24">
      <c r="B27" s="183" t="str">
        <f>B4&amp;" Sales Volume (MT)"</f>
        <v>0 Sales Volume (MT)</v>
      </c>
      <c r="C27" s="125">
        <f>Ingredients!D$42</f>
        <v>0</v>
      </c>
      <c r="D27" s="125">
        <f>Ingredients!E$42</f>
        <v>437.57534246575341</v>
      </c>
      <c r="E27" s="125">
        <f>Ingredients!F$42</f>
        <v>1122.4109589041095</v>
      </c>
      <c r="F27" s="125">
        <f>Ingredients!G$42</f>
        <v>1896.0827465753425</v>
      </c>
      <c r="G27" s="125">
        <f>Ingredients!H$42</f>
        <v>3728.3687808219179</v>
      </c>
      <c r="H27" s="186">
        <f>SUM(C27:G27)</f>
        <v>7184.4378287671234</v>
      </c>
      <c r="J27" s="183" t="str">
        <f>J4&amp;" Sales Volume (MT)"</f>
        <v>Brazzein Sales Volume (MT)</v>
      </c>
      <c r="K27" s="193">
        <f>Ingredients!AK$42</f>
        <v>0</v>
      </c>
      <c r="L27" s="193">
        <f>Ingredients!AL$42</f>
        <v>0</v>
      </c>
      <c r="M27" s="193">
        <f>Ingredients!AM$42</f>
        <v>0</v>
      </c>
      <c r="N27" s="193">
        <f>Ingredients!AN$42</f>
        <v>0.58493150684931505</v>
      </c>
      <c r="O27" s="193">
        <f>Ingredients!AO$42</f>
        <v>3.5671232876712331</v>
      </c>
      <c r="P27" s="194">
        <f>SUM(K27:O27)</f>
        <v>4.1520547945205486</v>
      </c>
      <c r="R27" s="183" t="str">
        <f>R4&amp;" Sales Volume (MT)"</f>
        <v>LAA Sales Volume (MT)</v>
      </c>
      <c r="S27" s="193">
        <f>Ingredients!AV$42</f>
        <v>0</v>
      </c>
      <c r="T27" s="193">
        <f>Ingredients!AW$42</f>
        <v>0</v>
      </c>
      <c r="U27" s="193">
        <f>Ingredients!AX$42</f>
        <v>0</v>
      </c>
      <c r="V27" s="193">
        <f>Ingredients!AY$42</f>
        <v>0</v>
      </c>
      <c r="W27" s="193">
        <f>Ingredients!AZ$42</f>
        <v>0</v>
      </c>
      <c r="X27" s="194">
        <f>SUM(S27:W27)</f>
        <v>0</v>
      </c>
    </row>
    <row r="28" spans="2:24">
      <c r="B28" s="184" t="s">
        <v>89</v>
      </c>
      <c r="C28" s="102">
        <f>Ingredients!D48</f>
        <v>0</v>
      </c>
      <c r="D28" s="102">
        <f>Ingredients!E48</f>
        <v>21.42</v>
      </c>
      <c r="E28" s="102">
        <f>Ingredients!F48</f>
        <v>18.5</v>
      </c>
      <c r="F28" s="102">
        <f>Ingredients!G48</f>
        <v>17.049999999999997</v>
      </c>
      <c r="G28" s="102">
        <f>Ingredients!H48</f>
        <v>15.400000000000002</v>
      </c>
      <c r="H28" s="185">
        <f>AVERAGE(C28:G28)</f>
        <v>14.474</v>
      </c>
      <c r="J28" s="184" t="str">
        <f>$B$28</f>
        <v>Rev per Kg</v>
      </c>
      <c r="K28" s="102">
        <f>Ingredients!AK$48</f>
        <v>0</v>
      </c>
      <c r="L28" s="102">
        <f>Ingredients!AL$48</f>
        <v>0</v>
      </c>
      <c r="M28" s="102">
        <f>Ingredients!AM$48</f>
        <v>0</v>
      </c>
      <c r="N28" s="102">
        <f>Ingredients!AN$48</f>
        <v>500</v>
      </c>
      <c r="O28" s="102">
        <f>Ingredients!AO$48</f>
        <v>500</v>
      </c>
      <c r="P28" s="185">
        <f>AVERAGE(K28:O28)</f>
        <v>200</v>
      </c>
      <c r="R28" s="184" t="str">
        <f>$B$28</f>
        <v>Rev per Kg</v>
      </c>
      <c r="S28" s="102">
        <f>Ingredients!AV$48</f>
        <v>0</v>
      </c>
      <c r="T28" s="102">
        <f>Ingredients!AW$48</f>
        <v>0</v>
      </c>
      <c r="U28" s="102">
        <f>Ingredients!AX$48</f>
        <v>0</v>
      </c>
      <c r="V28" s="102">
        <f>Ingredients!AY$48</f>
        <v>0</v>
      </c>
      <c r="W28" s="102">
        <f>Ingredients!AZ$48</f>
        <v>0</v>
      </c>
      <c r="X28" s="185">
        <f>AVERAGE(S28:W28)</f>
        <v>0</v>
      </c>
    </row>
    <row r="29" spans="2:24" ht="14.25" thickBot="1">
      <c r="B29" s="190" t="s">
        <v>90</v>
      </c>
      <c r="C29" s="191">
        <f>Ingredients!D49</f>
        <v>0</v>
      </c>
      <c r="D29" s="191">
        <f>Ingredients!E49</f>
        <v>81.694852941176478</v>
      </c>
      <c r="E29" s="191">
        <f>Ingredients!F49</f>
        <v>42.912079510703364</v>
      </c>
      <c r="F29" s="191">
        <f>Ingredients!G49</f>
        <v>26.108220299128455</v>
      </c>
      <c r="G29" s="191">
        <f>Ingredients!H49</f>
        <v>16.782702012100124</v>
      </c>
      <c r="H29" s="192">
        <f>AVERAGE(C29:G29)</f>
        <v>33.499570952621681</v>
      </c>
      <c r="J29" s="190" t="str">
        <f>$B$29</f>
        <v>Cost per Kg</v>
      </c>
      <c r="K29" s="191">
        <f>Ingredients!AK$49</f>
        <v>0</v>
      </c>
      <c r="L29" s="191">
        <f>Ingredients!AL$49</f>
        <v>0</v>
      </c>
      <c r="M29" s="191">
        <f>Ingredients!AM$49</f>
        <v>0</v>
      </c>
      <c r="N29" s="191">
        <f>Ingredients!AN$49</f>
        <v>500</v>
      </c>
      <c r="O29" s="191">
        <f>Ingredients!AO$49</f>
        <v>400</v>
      </c>
      <c r="P29" s="192">
        <f>AVERAGE(K29:O29)</f>
        <v>180</v>
      </c>
      <c r="R29" s="190" t="str">
        <f>$B$29</f>
        <v>Cost per Kg</v>
      </c>
      <c r="S29" s="191">
        <f>Ingredients!AV$49</f>
        <v>0</v>
      </c>
      <c r="T29" s="191">
        <f>Ingredients!AW$49</f>
        <v>0</v>
      </c>
      <c r="U29" s="191">
        <f>Ingredients!AX$49</f>
        <v>0</v>
      </c>
      <c r="V29" s="191">
        <f>Ingredients!AY$49</f>
        <v>0</v>
      </c>
      <c r="W29" s="191">
        <f>Ingredients!AZ$49</f>
        <v>0</v>
      </c>
      <c r="X29" s="192">
        <f>AVERAGE(S29:W29)</f>
        <v>0</v>
      </c>
    </row>
    <row r="30" spans="2:24">
      <c r="B30" s="121"/>
      <c r="C30" s="121"/>
      <c r="D30" s="121"/>
      <c r="E30" s="121"/>
      <c r="F30" s="121"/>
      <c r="G30" s="121"/>
      <c r="H30" s="121"/>
      <c r="J30" s="121"/>
      <c r="K30" s="121"/>
      <c r="L30" s="121"/>
      <c r="M30" s="121"/>
      <c r="N30" s="121"/>
      <c r="O30" s="121"/>
      <c r="P30" s="121"/>
      <c r="R30" s="121"/>
      <c r="S30" s="121"/>
      <c r="T30" s="121"/>
      <c r="U30" s="121"/>
      <c r="V30" s="121"/>
      <c r="W30" s="121"/>
      <c r="X30" s="121"/>
    </row>
    <row r="31" spans="2:24">
      <c r="B31" s="92" t="s">
        <v>91</v>
      </c>
      <c r="C31" s="121"/>
      <c r="D31" s="121"/>
      <c r="E31" s="121"/>
      <c r="F31" s="121"/>
      <c r="G31" s="121"/>
      <c r="H31" s="121"/>
      <c r="K31" s="121"/>
      <c r="L31" s="121"/>
      <c r="M31" s="121"/>
      <c r="N31" s="121"/>
      <c r="O31" s="121"/>
      <c r="P31" s="121"/>
      <c r="S31" s="121"/>
      <c r="T31" s="121"/>
      <c r="U31" s="121"/>
      <c r="V31" s="121"/>
      <c r="W31" s="121"/>
      <c r="X31" s="121"/>
    </row>
    <row r="32" spans="2:24">
      <c r="B32" s="92" t="s">
        <v>92</v>
      </c>
      <c r="C32" s="121"/>
      <c r="D32" s="121"/>
      <c r="E32" s="121"/>
      <c r="F32" s="121"/>
      <c r="G32" s="121"/>
      <c r="H32" s="121"/>
      <c r="K32" s="121"/>
      <c r="L32" s="121"/>
      <c r="M32" s="121"/>
      <c r="N32" s="121"/>
      <c r="O32" s="121"/>
      <c r="P32" s="121"/>
      <c r="S32" s="121"/>
      <c r="T32" s="121"/>
      <c r="U32" s="121"/>
      <c r="V32" s="121"/>
      <c r="W32" s="121"/>
      <c r="X32" s="121"/>
    </row>
    <row r="33" spans="2:24"/>
    <row r="34" spans="2:24">
      <c r="B34" s="181" t="str">
        <f>Ingredients!$BG$3</f>
        <v>Masar Lovo</v>
      </c>
      <c r="C34" s="182"/>
      <c r="D34" s="182"/>
      <c r="E34" s="182"/>
      <c r="F34" s="182"/>
      <c r="G34" s="182"/>
      <c r="H34" s="182"/>
      <c r="J34" s="181" t="str">
        <f>Ingredients!$CC$3</f>
        <v>Gelatin (India)</v>
      </c>
      <c r="K34" s="182"/>
      <c r="L34" s="182"/>
      <c r="M34" s="182"/>
      <c r="N34" s="182"/>
      <c r="O34" s="182"/>
      <c r="P34" s="182"/>
      <c r="R34" s="181" t="str">
        <f>Ingredients!$CN$3</f>
        <v>DCP (India)</v>
      </c>
      <c r="S34" s="182"/>
      <c r="T34" s="182"/>
      <c r="U34" s="182"/>
      <c r="V34" s="182"/>
      <c r="W34" s="182"/>
      <c r="X34" s="182"/>
    </row>
    <row r="35" spans="2:24" ht="3" customHeight="1"/>
    <row r="36" spans="2:24"/>
    <row r="37" spans="2:24"/>
    <row r="38" spans="2:24"/>
    <row r="39" spans="2:24"/>
    <row r="40" spans="2:24"/>
    <row r="41" spans="2:24"/>
    <row r="42" spans="2:24"/>
    <row r="43" spans="2:24"/>
    <row r="44" spans="2:24"/>
    <row r="45" spans="2:24"/>
    <row r="46" spans="2:24"/>
    <row r="47" spans="2:24"/>
    <row r="48" spans="2:24"/>
    <row r="49" spans="2:24"/>
    <row r="50" spans="2:24"/>
    <row r="51" spans="2:24"/>
    <row r="52" spans="2:24"/>
    <row r="53" spans="2:24"/>
    <row r="54" spans="2:24"/>
    <row r="55" spans="2:24"/>
    <row r="56" spans="2:24" ht="14.25" thickBot="1">
      <c r="B56" s="187" t="str">
        <f>$B$26</f>
        <v>('$m)</v>
      </c>
      <c r="C56" s="188" t="e">
        <f>$C$26</f>
        <v>#REF!</v>
      </c>
      <c r="D56" s="188">
        <f>$D$26</f>
        <v>2023</v>
      </c>
      <c r="E56" s="188">
        <f>$E$26</f>
        <v>2024</v>
      </c>
      <c r="F56" s="188">
        <f>$F$26</f>
        <v>2025</v>
      </c>
      <c r="G56" s="188">
        <f>$G$26</f>
        <v>2026</v>
      </c>
      <c r="H56" s="189" t="e">
        <f>$H$26</f>
        <v>#REF!</v>
      </c>
      <c r="J56" s="187" t="str">
        <f>$B$26</f>
        <v>('$m)</v>
      </c>
      <c r="K56" s="188" t="e">
        <f>$C$26</f>
        <v>#REF!</v>
      </c>
      <c r="L56" s="188">
        <f>$D$26</f>
        <v>2023</v>
      </c>
      <c r="M56" s="188">
        <f>$E$26</f>
        <v>2024</v>
      </c>
      <c r="N56" s="188">
        <f>$F$26</f>
        <v>2025</v>
      </c>
      <c r="O56" s="188">
        <f>$G$26</f>
        <v>2026</v>
      </c>
      <c r="P56" s="189" t="e">
        <f>$H$26</f>
        <v>#REF!</v>
      </c>
      <c r="R56" s="187" t="str">
        <f>$B$26</f>
        <v>('$m)</v>
      </c>
      <c r="S56" s="188" t="e">
        <f>$C$26</f>
        <v>#REF!</v>
      </c>
      <c r="T56" s="188">
        <f>$D$26</f>
        <v>2023</v>
      </c>
      <c r="U56" s="188">
        <f>$E$26</f>
        <v>2024</v>
      </c>
      <c r="V56" s="188">
        <f>$F$26</f>
        <v>2025</v>
      </c>
      <c r="W56" s="188">
        <f>$G$26</f>
        <v>2026</v>
      </c>
      <c r="X56" s="189" t="e">
        <f>$H$26</f>
        <v>#REF!</v>
      </c>
    </row>
    <row r="57" spans="2:24">
      <c r="B57" s="183" t="str">
        <f>B34&amp;" Sales Volume (MT)"</f>
        <v>Masar Lovo Sales Volume (MT)</v>
      </c>
      <c r="C57" s="125">
        <f>Ingredients!BG$42</f>
        <v>0</v>
      </c>
      <c r="D57" s="125">
        <f>Ingredients!BH$42</f>
        <v>196</v>
      </c>
      <c r="E57" s="125">
        <f>Ingredients!BI$42</f>
        <v>199.92000000000002</v>
      </c>
      <c r="F57" s="125">
        <f>Ingredients!BJ$42</f>
        <v>203.91840000000002</v>
      </c>
      <c r="G57" s="125">
        <f>Ingredients!BK$42</f>
        <v>207.99676800000003</v>
      </c>
      <c r="H57" s="186">
        <f>SUM(C57:G57)</f>
        <v>807.83516800000007</v>
      </c>
      <c r="J57" s="183" t="str">
        <f>J34&amp;" Sales Volume (MT)"</f>
        <v>Gelatin (India) Sales Volume (MT)</v>
      </c>
      <c r="K57" s="125">
        <f>Ingredients!CC$42</f>
        <v>0</v>
      </c>
      <c r="L57" s="125">
        <f>Ingredients!CD$42</f>
        <v>3500</v>
      </c>
      <c r="M57" s="125">
        <f>Ingredients!CE$42</f>
        <v>4375</v>
      </c>
      <c r="N57" s="125">
        <f>Ingredients!CF$42</f>
        <v>4812.5</v>
      </c>
      <c r="O57" s="125">
        <f>Ingredients!CG$42</f>
        <v>5293.75</v>
      </c>
      <c r="P57" s="186">
        <f>SUM(K57:O57)</f>
        <v>17981.25</v>
      </c>
      <c r="R57" s="183" t="str">
        <f>R34&amp;" Sales Volume (MT)"</f>
        <v>DCP (India) Sales Volume (MT)</v>
      </c>
      <c r="S57" s="125">
        <f>Ingredients!CN$42</f>
        <v>0</v>
      </c>
      <c r="T57" s="125">
        <f>Ingredients!CO$42</f>
        <v>12480</v>
      </c>
      <c r="U57" s="125">
        <f>Ingredients!CP$42</f>
        <v>15600</v>
      </c>
      <c r="V57" s="125">
        <f>Ingredients!CQ$42</f>
        <v>17160</v>
      </c>
      <c r="W57" s="125">
        <f>Ingredients!CR$42</f>
        <v>18876</v>
      </c>
      <c r="X57" s="186">
        <f>SUM(S57:W57)</f>
        <v>64116</v>
      </c>
    </row>
    <row r="58" spans="2:24">
      <c r="B58" s="184" t="str">
        <f>$B$28</f>
        <v>Rev per Kg</v>
      </c>
      <c r="C58" s="102">
        <f>Ingredients!BG$48</f>
        <v>0</v>
      </c>
      <c r="D58" s="102">
        <f>Ingredients!BH$48</f>
        <v>45.918367346938773</v>
      </c>
      <c r="E58" s="102">
        <f>Ingredients!BI$48</f>
        <v>45.918367346938773</v>
      </c>
      <c r="F58" s="102">
        <f>Ingredients!BJ$48</f>
        <v>45.918367346938773</v>
      </c>
      <c r="G58" s="102">
        <f>Ingredients!BK$48</f>
        <v>45.918367346938773</v>
      </c>
      <c r="H58" s="185">
        <f>AVERAGE(C58:G58)</f>
        <v>36.734693877551017</v>
      </c>
      <c r="J58" s="184" t="str">
        <f>$B$28</f>
        <v>Rev per Kg</v>
      </c>
      <c r="K58" s="102">
        <f>Ingredients!CC$48</f>
        <v>0</v>
      </c>
      <c r="L58" s="102">
        <f>Ingredients!CD$48</f>
        <v>7.9</v>
      </c>
      <c r="M58" s="102">
        <f>Ingredients!CE$48</f>
        <v>7.9</v>
      </c>
      <c r="N58" s="102">
        <f>Ingredients!CF$48</f>
        <v>7.9</v>
      </c>
      <c r="O58" s="102">
        <f>Ingredients!CG$48</f>
        <v>7.9</v>
      </c>
      <c r="P58" s="185">
        <f>AVERAGE(K58:O58)</f>
        <v>6.32</v>
      </c>
      <c r="R58" s="184" t="str">
        <f>$B$28</f>
        <v>Rev per Kg</v>
      </c>
      <c r="S58" s="102">
        <f>Ingredients!CN$48</f>
        <v>0</v>
      </c>
      <c r="T58" s="102">
        <f>Ingredients!CO$48</f>
        <v>0.41</v>
      </c>
      <c r="U58" s="102">
        <f>Ingredients!CP$48</f>
        <v>0.41</v>
      </c>
      <c r="V58" s="102">
        <f>Ingredients!CQ$48</f>
        <v>0.41</v>
      </c>
      <c r="W58" s="102">
        <f>Ingredients!CR$48</f>
        <v>0.41</v>
      </c>
      <c r="X58" s="185">
        <f>AVERAGE(S58:W58)</f>
        <v>0.32799999999999996</v>
      </c>
    </row>
    <row r="59" spans="2:24" ht="14.25" thickBot="1">
      <c r="B59" s="190" t="str">
        <f>$B$29</f>
        <v>Cost per Kg</v>
      </c>
      <c r="C59" s="191">
        <f>Ingredients!BG$49</f>
        <v>0</v>
      </c>
      <c r="D59" s="191">
        <f>Ingredients!BH$49</f>
        <v>29.85</v>
      </c>
      <c r="E59" s="191">
        <f>Ingredients!BI$49</f>
        <v>29.85</v>
      </c>
      <c r="F59" s="191">
        <f>Ingredients!BJ$49</f>
        <v>29.85</v>
      </c>
      <c r="G59" s="191">
        <f>Ingredients!BK$49</f>
        <v>29.85</v>
      </c>
      <c r="H59" s="192">
        <f>AVERAGE(C59:G59)</f>
        <v>23.880000000000003</v>
      </c>
      <c r="J59" s="190" t="str">
        <f>$B$29</f>
        <v>Cost per Kg</v>
      </c>
      <c r="K59" s="191">
        <f>Ingredients!CC$49</f>
        <v>0</v>
      </c>
      <c r="L59" s="191">
        <f>Ingredients!CD$49</f>
        <v>5.14</v>
      </c>
      <c r="M59" s="191">
        <f>Ingredients!CE$49</f>
        <v>5.14</v>
      </c>
      <c r="N59" s="191">
        <f>Ingredients!CF$49</f>
        <v>5.14</v>
      </c>
      <c r="O59" s="191">
        <f>Ingredients!CG$49</f>
        <v>5.14</v>
      </c>
      <c r="P59" s="192">
        <f>AVERAGE(K59:O59)</f>
        <v>4.1120000000000001</v>
      </c>
      <c r="R59" s="190" t="str">
        <f>$B$29</f>
        <v>Cost per Kg</v>
      </c>
      <c r="S59" s="191">
        <f>Ingredients!CN$49</f>
        <v>0</v>
      </c>
      <c r="T59" s="191">
        <f>Ingredients!CO$49</f>
        <v>0.27</v>
      </c>
      <c r="U59" s="191">
        <f>Ingredients!CP$49</f>
        <v>0.27</v>
      </c>
      <c r="V59" s="191">
        <f>Ingredients!CQ$49</f>
        <v>0.27</v>
      </c>
      <c r="W59" s="191">
        <f>Ingredients!CR$49</f>
        <v>0.27</v>
      </c>
      <c r="X59" s="192">
        <f>AVERAGE(S59:W59)</f>
        <v>0.21600000000000003</v>
      </c>
    </row>
    <row r="60" spans="2:24"/>
    <row r="61" spans="2:24"/>
    <row r="62" spans="2:24"/>
    <row r="63" spans="2:24"/>
    <row r="64" spans="2:24"/>
    <row r="65"/>
  </sheetData>
  <pageMargins left="0.7" right="0.7" top="0.75" bottom="0.7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F0561-BB55-4DB6-A9E5-424FD1EA0197}">
  <sheetPr>
    <tabColor theme="7" tint="0.79998168889431442"/>
  </sheetPr>
  <dimension ref="A1:AF6"/>
  <sheetViews>
    <sheetView workbookViewId="0"/>
  </sheetViews>
  <sheetFormatPr defaultColWidth="9.109375" defaultRowHeight="13.5"/>
  <cols>
    <col min="1" max="2" width="1.6640625" style="8" customWidth="1"/>
    <col min="3" max="3" width="20.33203125" style="8" customWidth="1"/>
    <col min="4" max="16384" width="9.109375" style="8"/>
  </cols>
  <sheetData>
    <row r="1" spans="1:32" ht="35.25">
      <c r="A1" s="452"/>
      <c r="B1" s="10" t="s">
        <v>655</v>
      </c>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row>
    <row r="3" spans="1:32" s="100" customFormat="1">
      <c r="D3" s="527">
        <v>2016</v>
      </c>
      <c r="E3" s="527"/>
      <c r="F3" s="527" t="s">
        <v>656</v>
      </c>
      <c r="G3" s="527"/>
      <c r="H3" s="527"/>
      <c r="I3" s="527"/>
      <c r="J3" s="527" t="s">
        <v>657</v>
      </c>
      <c r="K3" s="527"/>
      <c r="L3" s="527"/>
      <c r="M3" s="527"/>
      <c r="N3" s="527" t="s">
        <v>658</v>
      </c>
      <c r="O3" s="527"/>
      <c r="P3" s="527"/>
      <c r="Q3" s="527"/>
      <c r="R3" s="527" t="s">
        <v>659</v>
      </c>
      <c r="S3" s="527"/>
      <c r="T3" s="527"/>
      <c r="U3" s="527"/>
      <c r="V3" s="527" t="s">
        <v>660</v>
      </c>
      <c r="W3" s="527"/>
      <c r="X3" s="527"/>
      <c r="Y3" s="527"/>
      <c r="Z3" s="527" t="s">
        <v>526</v>
      </c>
      <c r="AA3" s="527"/>
      <c r="AB3" s="527"/>
      <c r="AC3" s="527"/>
      <c r="AD3" s="527" t="s">
        <v>527</v>
      </c>
    </row>
    <row r="4" spans="1:32" s="100" customFormat="1">
      <c r="D4" s="440" t="s">
        <v>661</v>
      </c>
      <c r="E4" s="440" t="s">
        <v>662</v>
      </c>
      <c r="F4" s="440" t="s">
        <v>663</v>
      </c>
      <c r="G4" s="440" t="s">
        <v>664</v>
      </c>
      <c r="H4" s="440" t="s">
        <v>661</v>
      </c>
      <c r="I4" s="440" t="s">
        <v>662</v>
      </c>
      <c r="J4" s="440" t="s">
        <v>663</v>
      </c>
      <c r="K4" s="440" t="s">
        <v>664</v>
      </c>
      <c r="L4" s="440" t="s">
        <v>661</v>
      </c>
      <c r="M4" s="440" t="s">
        <v>662</v>
      </c>
      <c r="N4" s="440" t="s">
        <v>663</v>
      </c>
      <c r="O4" s="440" t="s">
        <v>664</v>
      </c>
      <c r="P4" s="440" t="s">
        <v>661</v>
      </c>
      <c r="Q4" s="440" t="s">
        <v>662</v>
      </c>
      <c r="R4" s="440" t="s">
        <v>663</v>
      </c>
      <c r="S4" s="440" t="s">
        <v>664</v>
      </c>
      <c r="T4" s="440" t="s">
        <v>661</v>
      </c>
      <c r="U4" s="440" t="s">
        <v>662</v>
      </c>
      <c r="V4" s="440" t="s">
        <v>663</v>
      </c>
      <c r="W4" s="440" t="s">
        <v>664</v>
      </c>
      <c r="X4" s="440" t="s">
        <v>661</v>
      </c>
      <c r="Y4" s="440" t="s">
        <v>662</v>
      </c>
      <c r="Z4" s="440" t="s">
        <v>663</v>
      </c>
      <c r="AA4" s="440" t="s">
        <v>664</v>
      </c>
      <c r="AB4" s="440" t="s">
        <v>661</v>
      </c>
      <c r="AC4" s="440" t="s">
        <v>662</v>
      </c>
      <c r="AD4" s="440" t="s">
        <v>663</v>
      </c>
    </row>
    <row r="5" spans="1:32">
      <c r="C5" s="100" t="s">
        <v>665</v>
      </c>
      <c r="D5" s="505">
        <v>9.4771999999999998</v>
      </c>
      <c r="E5" s="505">
        <v>9.6976000000000013</v>
      </c>
      <c r="F5" s="505">
        <v>9.6976000000000013</v>
      </c>
      <c r="G5" s="505">
        <v>9.4771999999999998</v>
      </c>
      <c r="H5" s="505">
        <v>9.1466000000000012</v>
      </c>
      <c r="I5" s="505">
        <v>8.7058000000000018</v>
      </c>
      <c r="J5" s="505">
        <v>7.6038000000000014</v>
      </c>
      <c r="K5" s="505">
        <v>6.2814000000000005</v>
      </c>
      <c r="L5" s="505">
        <v>6.0610000000000008</v>
      </c>
      <c r="M5" s="505">
        <v>5.8406000000000002</v>
      </c>
      <c r="N5" s="505">
        <v>6.9426000000000005</v>
      </c>
      <c r="O5" s="505">
        <v>7.8242000000000003</v>
      </c>
      <c r="P5" s="505">
        <v>7.8242000000000003</v>
      </c>
      <c r="Q5" s="505">
        <v>6.7222</v>
      </c>
      <c r="R5" s="505">
        <v>6.6120000000000001</v>
      </c>
      <c r="S5" s="505">
        <v>7.0528000000000013</v>
      </c>
      <c r="T5" s="505">
        <v>6.2814000000000005</v>
      </c>
      <c r="U5" s="505">
        <v>5.5100000000000007</v>
      </c>
      <c r="V5" s="505">
        <v>6.0610000000000008</v>
      </c>
      <c r="W5" s="505">
        <v>8.3751999999999995</v>
      </c>
      <c r="X5" s="505">
        <v>12.011800000000001</v>
      </c>
      <c r="Y5" s="505">
        <v>14.5464</v>
      </c>
      <c r="Z5" s="505">
        <v>16.970800000000001</v>
      </c>
      <c r="AA5" s="505">
        <v>17.411600000000004</v>
      </c>
      <c r="AB5" s="505">
        <v>13.224</v>
      </c>
      <c r="AC5" s="505">
        <v>11.901600000000002</v>
      </c>
      <c r="AD5" s="505">
        <v>7.7140000000000004</v>
      </c>
    </row>
    <row r="6" spans="1:32">
      <c r="C6" s="100" t="s">
        <v>666</v>
      </c>
      <c r="D6" s="505">
        <v>9.6976000000000013</v>
      </c>
      <c r="E6" s="505">
        <v>9.918000000000001</v>
      </c>
      <c r="F6" s="505">
        <v>9.918000000000001</v>
      </c>
      <c r="G6" s="505">
        <v>9.6976000000000013</v>
      </c>
      <c r="H6" s="505">
        <v>9.3670000000000009</v>
      </c>
      <c r="I6" s="505">
        <v>8.9261999999999997</v>
      </c>
      <c r="J6" s="505">
        <v>7.8242000000000003</v>
      </c>
      <c r="K6" s="505">
        <v>6.5018000000000011</v>
      </c>
      <c r="L6" s="505">
        <v>6.2814000000000005</v>
      </c>
      <c r="M6" s="505">
        <v>6.0610000000000008</v>
      </c>
      <c r="N6" s="505">
        <v>7.1630000000000003</v>
      </c>
      <c r="O6" s="505">
        <v>8.0446000000000009</v>
      </c>
      <c r="P6" s="505">
        <v>8.0446000000000009</v>
      </c>
      <c r="Q6" s="505">
        <v>6.9426000000000005</v>
      </c>
      <c r="R6" s="505">
        <v>6.8324000000000007</v>
      </c>
      <c r="S6" s="505">
        <v>7.2732000000000001</v>
      </c>
      <c r="T6" s="505">
        <v>6.5018000000000011</v>
      </c>
      <c r="U6" s="505">
        <v>5.7304000000000004</v>
      </c>
      <c r="V6" s="505">
        <v>6.2814000000000005</v>
      </c>
      <c r="W6" s="505">
        <v>8.595600000000001</v>
      </c>
      <c r="X6" s="505">
        <v>12.232200000000001</v>
      </c>
      <c r="Y6" s="505">
        <v>14.766800000000002</v>
      </c>
      <c r="Z6" s="505">
        <v>17.191200000000002</v>
      </c>
      <c r="AA6" s="505">
        <v>17.632000000000001</v>
      </c>
      <c r="AB6" s="505">
        <v>13.4444</v>
      </c>
      <c r="AC6" s="505">
        <v>12.122000000000002</v>
      </c>
      <c r="AD6" s="505">
        <v>7.7140000000000004</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11CDB-F30B-40CD-A0FD-AF70D0CFB3CE}">
  <sheetPr>
    <tabColor theme="7" tint="0.79998168889431442"/>
    <pageSetUpPr fitToPage="1"/>
  </sheetPr>
  <dimension ref="A1:S98"/>
  <sheetViews>
    <sheetView topLeftCell="A4" workbookViewId="0"/>
  </sheetViews>
  <sheetFormatPr defaultColWidth="0" defaultRowHeight="13.5" zeroHeight="1"/>
  <cols>
    <col min="1" max="1" width="1.5546875" style="8" customWidth="1"/>
    <col min="2" max="3" width="1.5546875" style="100" customWidth="1"/>
    <col min="4" max="4" width="24.44140625" style="8" customWidth="1"/>
    <col min="5" max="13" width="10.44140625" style="8" customWidth="1"/>
    <col min="14" max="15" width="9.44140625" style="8" customWidth="1"/>
    <col min="16" max="20" width="9.44140625" style="8" hidden="1" customWidth="1"/>
    <col min="21" max="16384" width="9.44140625" style="8" hidden="1"/>
  </cols>
  <sheetData>
    <row r="1" spans="1:19" ht="35.25">
      <c r="A1" s="452"/>
      <c r="B1" s="10" t="s">
        <v>86</v>
      </c>
      <c r="C1" s="10"/>
      <c r="D1" s="10"/>
      <c r="E1" s="11"/>
      <c r="F1" s="11"/>
      <c r="G1" s="11"/>
      <c r="H1" s="11"/>
      <c r="I1" s="11"/>
      <c r="J1" s="11"/>
      <c r="K1" s="11"/>
      <c r="L1" s="11"/>
      <c r="M1" s="11"/>
      <c r="N1" s="11"/>
      <c r="O1" s="11"/>
      <c r="P1" s="11"/>
      <c r="Q1" s="11"/>
      <c r="R1" s="11"/>
      <c r="S1" s="11"/>
    </row>
    <row r="2" spans="1:19" ht="21.75">
      <c r="A2" s="452"/>
      <c r="B2" s="123" t="s">
        <v>316</v>
      </c>
      <c r="C2" s="123"/>
      <c r="D2" s="123"/>
      <c r="E2" s="11"/>
      <c r="F2" s="11"/>
      <c r="G2" s="11"/>
      <c r="H2" s="11"/>
      <c r="I2" s="11"/>
      <c r="J2" s="11"/>
      <c r="K2" s="11"/>
      <c r="L2" s="11"/>
      <c r="M2" s="11"/>
      <c r="N2" s="11"/>
      <c r="O2" s="11"/>
      <c r="P2" s="11"/>
      <c r="Q2" s="11"/>
      <c r="R2" s="11"/>
      <c r="S2" s="11"/>
    </row>
    <row r="3" spans="1:19">
      <c r="B3" s="8"/>
      <c r="C3" s="8"/>
    </row>
    <row r="4" spans="1:19" s="92" customFormat="1" ht="14.25" thickBot="1">
      <c r="B4" s="121" t="s">
        <v>368</v>
      </c>
      <c r="C4" s="121"/>
      <c r="D4" s="121"/>
      <c r="E4" s="122" t="s">
        <v>101</v>
      </c>
      <c r="F4" s="122"/>
      <c r="G4" s="122"/>
      <c r="H4" s="122"/>
      <c r="I4" s="122"/>
      <c r="J4" s="122"/>
      <c r="K4" s="122"/>
      <c r="L4" s="122"/>
      <c r="M4" s="122"/>
      <c r="N4" s="122"/>
    </row>
    <row r="5" spans="1:19" s="92" customFormat="1" ht="14.25" thickTop="1">
      <c r="B5" s="12" t="s">
        <v>93</v>
      </c>
      <c r="C5" s="12"/>
      <c r="D5" s="12"/>
      <c r="E5" s="13">
        <v>2022</v>
      </c>
      <c r="F5" s="295">
        <f>+E5+1</f>
        <v>2023</v>
      </c>
      <c r="G5" s="13">
        <f t="shared" ref="G5:I5" si="0">+F5+1</f>
        <v>2024</v>
      </c>
      <c r="H5" s="13">
        <f t="shared" si="0"/>
        <v>2025</v>
      </c>
      <c r="I5" s="13">
        <f t="shared" si="0"/>
        <v>2026</v>
      </c>
      <c r="J5" s="13">
        <f t="shared" ref="J5" si="1">+I5+1</f>
        <v>2027</v>
      </c>
      <c r="K5" s="13">
        <f t="shared" ref="K5" si="2">+J5+1</f>
        <v>2028</v>
      </c>
      <c r="L5" s="13">
        <f t="shared" ref="L5" si="3">+K5+1</f>
        <v>2029</v>
      </c>
      <c r="M5" s="13">
        <f t="shared" ref="M5:N5" si="4">+L5+1</f>
        <v>2030</v>
      </c>
      <c r="N5" s="13">
        <f t="shared" si="4"/>
        <v>2031</v>
      </c>
    </row>
    <row r="6" spans="1:19">
      <c r="B6" s="100" t="s">
        <v>317</v>
      </c>
      <c r="E6" s="14"/>
      <c r="F6" s="296"/>
      <c r="G6" s="14"/>
      <c r="H6" s="14"/>
      <c r="I6" s="14"/>
      <c r="J6" s="14"/>
      <c r="K6" s="14"/>
      <c r="L6" s="14"/>
      <c r="M6" s="14"/>
      <c r="N6" s="14"/>
    </row>
    <row r="7" spans="1:19">
      <c r="C7" s="100" t="s">
        <v>318</v>
      </c>
      <c r="E7" s="14"/>
      <c r="F7" s="296"/>
      <c r="G7" s="14"/>
      <c r="H7" s="14"/>
      <c r="I7" s="14"/>
      <c r="J7" s="14"/>
      <c r="K7" s="14"/>
      <c r="L7" s="14"/>
      <c r="M7" s="14"/>
      <c r="N7" s="14"/>
    </row>
    <row r="8" spans="1:19">
      <c r="D8" s="8" t="s">
        <v>319</v>
      </c>
      <c r="E8" s="14">
        <f t="shared" ref="E8:N8" si="5">E$57 - SUM(E$28, E$33, E$35, E$9, E$10, E$11, E$12)</f>
        <v>175.20000000000005</v>
      </c>
      <c r="F8" s="296">
        <f>F$57 - SUM(F$28, F$33, F$35, F$9, F$10, F$11, F$12)</f>
        <v>482.41311664805488</v>
      </c>
      <c r="G8" s="14">
        <f t="shared" si="5"/>
        <v>300.04097634095149</v>
      </c>
      <c r="H8" s="14">
        <f t="shared" si="5"/>
        <v>81.799463723288</v>
      </c>
      <c r="I8" s="14">
        <f t="shared" si="5"/>
        <v>84.23391961597531</v>
      </c>
      <c r="J8" s="14">
        <f>J$57 - SUM(J$28, J$33, J$35, J$9, J$10, J$11, J$12)</f>
        <v>87.711530420266968</v>
      </c>
      <c r="K8" s="14">
        <f t="shared" si="5"/>
        <v>162.60034428829897</v>
      </c>
      <c r="L8" s="14">
        <f t="shared" si="5"/>
        <v>205.44966815067119</v>
      </c>
      <c r="M8" s="14">
        <f t="shared" si="5"/>
        <v>327.14881294486361</v>
      </c>
      <c r="N8" s="14">
        <f t="shared" si="5"/>
        <v>452.01107610642055</v>
      </c>
    </row>
    <row r="9" spans="1:19">
      <c r="D9" s="8" t="s">
        <v>320</v>
      </c>
      <c r="E9" s="14">
        <v>8.1</v>
      </c>
      <c r="F9" s="296">
        <f t="shared" ref="F9:N9" si="6">F$76</f>
        <v>7.7369494614374181</v>
      </c>
      <c r="G9" s="14">
        <f t="shared" si="6"/>
        <v>8.7320821805216724</v>
      </c>
      <c r="H9" s="14">
        <f t="shared" si="6"/>
        <v>11.857648809654719</v>
      </c>
      <c r="I9" s="14">
        <f t="shared" si="6"/>
        <v>26.743151037252765</v>
      </c>
      <c r="J9" s="14">
        <f t="shared" si="6"/>
        <v>45.19013741791332</v>
      </c>
      <c r="K9" s="14">
        <f t="shared" si="6"/>
        <v>49.893718706466551</v>
      </c>
      <c r="L9" s="14">
        <f t="shared" si="6"/>
        <v>53.364931437506058</v>
      </c>
      <c r="M9" s="14">
        <f t="shared" si="6"/>
        <v>54.866177182685988</v>
      </c>
      <c r="N9" s="14">
        <f t="shared" si="6"/>
        <v>55.409424318287812</v>
      </c>
      <c r="O9" s="132"/>
    </row>
    <row r="10" spans="1:19">
      <c r="D10" s="8" t="s">
        <v>321</v>
      </c>
      <c r="E10" s="14">
        <v>12.2</v>
      </c>
      <c r="F10" s="296">
        <f t="shared" ref="F10:N10" si="7">F71</f>
        <v>5.9878295890410964</v>
      </c>
      <c r="G10" s="14">
        <f t="shared" si="7"/>
        <v>6.9091884657534255</v>
      </c>
      <c r="H10" s="14">
        <f t="shared" si="7"/>
        <v>8.8305661764630656</v>
      </c>
      <c r="I10" s="14">
        <f t="shared" si="7"/>
        <v>13.77553748503734</v>
      </c>
      <c r="J10" s="14">
        <f t="shared" si="7"/>
        <v>12.97391015136218</v>
      </c>
      <c r="K10" s="14">
        <f t="shared" si="7"/>
        <v>14.770146608769936</v>
      </c>
      <c r="L10" s="14">
        <f t="shared" si="7"/>
        <v>15.706343147470978</v>
      </c>
      <c r="M10" s="14">
        <f t="shared" si="7"/>
        <v>16.204523723880836</v>
      </c>
      <c r="N10" s="14">
        <f t="shared" si="7"/>
        <v>16.267305686539984</v>
      </c>
      <c r="O10" s="263"/>
    </row>
    <row r="11" spans="1:19">
      <c r="D11" s="8" t="s">
        <v>322</v>
      </c>
      <c r="E11" s="14">
        <v>4.2</v>
      </c>
      <c r="F11" s="296">
        <f t="shared" ref="F11:L11" si="8">E11</f>
        <v>4.2</v>
      </c>
      <c r="G11" s="14">
        <f t="shared" si="8"/>
        <v>4.2</v>
      </c>
      <c r="H11" s="14">
        <f t="shared" si="8"/>
        <v>4.2</v>
      </c>
      <c r="I11" s="14">
        <f t="shared" si="8"/>
        <v>4.2</v>
      </c>
      <c r="J11" s="14">
        <f t="shared" si="8"/>
        <v>4.2</v>
      </c>
      <c r="K11" s="14">
        <f t="shared" si="8"/>
        <v>4.2</v>
      </c>
      <c r="L11" s="14">
        <f t="shared" si="8"/>
        <v>4.2</v>
      </c>
      <c r="M11" s="14">
        <f t="shared" ref="M11:M12" si="9">L11</f>
        <v>4.2</v>
      </c>
      <c r="N11" s="14">
        <f t="shared" ref="N11:N12" si="10">M11</f>
        <v>4.2</v>
      </c>
      <c r="O11" s="263"/>
    </row>
    <row r="12" spans="1:19">
      <c r="D12" s="8" t="s">
        <v>323</v>
      </c>
      <c r="E12" s="14">
        <v>65</v>
      </c>
      <c r="F12" s="296">
        <f t="shared" ref="F12:L12" si="11">E12</f>
        <v>65</v>
      </c>
      <c r="G12" s="14">
        <f t="shared" si="11"/>
        <v>65</v>
      </c>
      <c r="H12" s="14">
        <f t="shared" si="11"/>
        <v>65</v>
      </c>
      <c r="I12" s="14">
        <f t="shared" si="11"/>
        <v>65</v>
      </c>
      <c r="J12" s="14">
        <f t="shared" si="11"/>
        <v>65</v>
      </c>
      <c r="K12" s="14">
        <f t="shared" si="11"/>
        <v>65</v>
      </c>
      <c r="L12" s="14">
        <f t="shared" si="11"/>
        <v>65</v>
      </c>
      <c r="M12" s="14">
        <f t="shared" si="9"/>
        <v>65</v>
      </c>
      <c r="N12" s="14">
        <f t="shared" si="10"/>
        <v>65</v>
      </c>
      <c r="O12" s="263"/>
    </row>
    <row r="13" spans="1:19">
      <c r="C13" s="100" t="s">
        <v>324</v>
      </c>
      <c r="E13" s="223">
        <f t="shared" ref="E13:L13" si="12">SUM(E8:E12)</f>
        <v>264.70000000000005</v>
      </c>
      <c r="F13" s="297">
        <f t="shared" si="12"/>
        <v>565.33789569853343</v>
      </c>
      <c r="G13" s="223">
        <f t="shared" si="12"/>
        <v>384.88224698722655</v>
      </c>
      <c r="H13" s="223">
        <f t="shared" si="12"/>
        <v>171.68767870940579</v>
      </c>
      <c r="I13" s="223">
        <f t="shared" si="12"/>
        <v>193.95260813826542</v>
      </c>
      <c r="J13" s="223">
        <f t="shared" si="12"/>
        <v>215.07557798954247</v>
      </c>
      <c r="K13" s="223">
        <f t="shared" si="12"/>
        <v>296.46420960353544</v>
      </c>
      <c r="L13" s="223">
        <f t="shared" si="12"/>
        <v>343.72094273564824</v>
      </c>
      <c r="M13" s="223">
        <f t="shared" ref="M13:N13" si="13">SUM(M8:M12)</f>
        <v>467.41951385143039</v>
      </c>
      <c r="N13" s="223">
        <f t="shared" si="13"/>
        <v>592.88780611124832</v>
      </c>
    </row>
    <row r="14" spans="1:19" ht="3.75" customHeight="1">
      <c r="E14" s="14"/>
      <c r="F14" s="296"/>
      <c r="G14" s="14"/>
      <c r="H14" s="14"/>
      <c r="I14" s="14"/>
      <c r="J14" s="14"/>
      <c r="K14" s="14"/>
      <c r="L14" s="14"/>
      <c r="M14" s="14"/>
      <c r="N14" s="14"/>
    </row>
    <row r="15" spans="1:19">
      <c r="C15" s="100" t="s">
        <v>325</v>
      </c>
      <c r="E15" s="14"/>
      <c r="F15" s="296"/>
      <c r="G15" s="14"/>
      <c r="H15" s="14">
        <f>H17-F17</f>
        <v>21.658000000000001</v>
      </c>
      <c r="I15" s="14"/>
      <c r="J15" s="14"/>
      <c r="K15" s="14"/>
      <c r="L15" s="14"/>
      <c r="M15" s="14"/>
      <c r="N15" s="14"/>
    </row>
    <row r="16" spans="1:19">
      <c r="D16" s="8" t="s">
        <v>336</v>
      </c>
      <c r="E16" s="14">
        <v>82.2</v>
      </c>
      <c r="F16" s="296">
        <f t="shared" ref="F16:L16" si="14">E16</f>
        <v>82.2</v>
      </c>
      <c r="G16" s="14">
        <f t="shared" si="14"/>
        <v>82.2</v>
      </c>
      <c r="H16" s="559">
        <f t="shared" si="14"/>
        <v>82.2</v>
      </c>
      <c r="I16" s="14">
        <f t="shared" si="14"/>
        <v>82.2</v>
      </c>
      <c r="J16" s="14">
        <f t="shared" si="14"/>
        <v>82.2</v>
      </c>
      <c r="K16" s="14">
        <f t="shared" si="14"/>
        <v>82.2</v>
      </c>
      <c r="L16" s="14">
        <f t="shared" si="14"/>
        <v>82.2</v>
      </c>
      <c r="M16" s="14">
        <f t="shared" ref="M16" si="15">L16</f>
        <v>82.2</v>
      </c>
      <c r="N16" s="14">
        <f t="shared" ref="N16" si="16">M16</f>
        <v>82.2</v>
      </c>
    </row>
    <row r="17" spans="3:14">
      <c r="D17" s="8" t="s">
        <v>80</v>
      </c>
      <c r="E17" s="14"/>
      <c r="F17" s="296">
        <f>SUM('CAPEX &amp; Financing'!G$28:G$30,'CAPEX &amp; Financing'!G$32) + E$17</f>
        <v>5</v>
      </c>
      <c r="G17" s="14">
        <f>SUM('CAPEX &amp; Financing'!H$28:H$30,'CAPEX &amp; Financing'!H$32) + F$17</f>
        <v>17.16</v>
      </c>
      <c r="H17" s="559">
        <f>SUM('CAPEX &amp; Financing'!I$28:I$30,'CAPEX &amp; Financing'!I$32) + G$17</f>
        <v>26.658000000000001</v>
      </c>
      <c r="I17" s="14">
        <f>SUM('CAPEX &amp; Financing'!J$28:J$30,'CAPEX &amp; Financing'!J$32) + H$17</f>
        <v>35.995000000000005</v>
      </c>
      <c r="J17" s="14">
        <f>SUM('CAPEX &amp; Financing'!K$28:K$30,'CAPEX &amp; Financing'!K$32) + I$17</f>
        <v>37.495000000000005</v>
      </c>
      <c r="K17" s="14">
        <f>SUM('CAPEX &amp; Financing'!L$28:L$30,'CAPEX &amp; Financing'!L$32) + J$17</f>
        <v>38.995000000000005</v>
      </c>
      <c r="L17" s="14">
        <f>SUM('CAPEX &amp; Financing'!M$28:M$30,'CAPEX &amp; Financing'!M$32) + K$17</f>
        <v>40.495000000000005</v>
      </c>
      <c r="M17" s="14">
        <f>SUM('CAPEX &amp; Financing'!N$28:N$30,'CAPEX &amp; Financing'!N$32) + L$17</f>
        <v>41.995000000000005</v>
      </c>
      <c r="N17" s="14">
        <f>SUM('CAPEX &amp; Financing'!O$28:O$30,'CAPEX &amp; Financing'!O$32) + M$17</f>
        <v>43.495000000000005</v>
      </c>
    </row>
    <row r="18" spans="3:14">
      <c r="D18" s="8" t="s">
        <v>100</v>
      </c>
      <c r="E18" s="14"/>
      <c r="F18" s="296">
        <f>'CAPEX &amp; Financing'!G$31 + E$18</f>
        <v>5</v>
      </c>
      <c r="G18" s="14">
        <f>'CAPEX &amp; Financing'!H$31 + F$18</f>
        <v>9</v>
      </c>
      <c r="H18" s="559">
        <f>'CAPEX &amp; Financing'!I$31 + G$18</f>
        <v>13</v>
      </c>
      <c r="I18" s="14">
        <f>'CAPEX &amp; Financing'!J$31 + H$18</f>
        <v>15</v>
      </c>
      <c r="J18" s="14">
        <f>'CAPEX &amp; Financing'!K$31 + I$18</f>
        <v>15</v>
      </c>
      <c r="K18" s="14">
        <f>'CAPEX &amp; Financing'!L$31 + J$18</f>
        <v>15</v>
      </c>
      <c r="L18" s="14">
        <f>'CAPEX &amp; Financing'!M$31 + K$18</f>
        <v>15</v>
      </c>
      <c r="M18" s="14">
        <f>'CAPEX &amp; Financing'!N$31 + L$18</f>
        <v>15</v>
      </c>
      <c r="N18" s="14">
        <f>'CAPEX &amp; Financing'!O$31 + M$18</f>
        <v>15</v>
      </c>
    </row>
    <row r="19" spans="3:14">
      <c r="D19" s="8" t="s">
        <v>194</v>
      </c>
      <c r="E19" s="14"/>
      <c r="F19" s="296">
        <f>'CAPEX &amp; Financing'!G33 + E19</f>
        <v>0</v>
      </c>
      <c r="G19" s="14">
        <f>'CAPEX &amp; Financing'!H33 + F19</f>
        <v>0</v>
      </c>
      <c r="H19" s="559">
        <f>'CAPEX &amp; Financing'!I33 + G19</f>
        <v>0</v>
      </c>
      <c r="I19" s="14">
        <f>'CAPEX &amp; Financing'!J33 + H19</f>
        <v>0</v>
      </c>
      <c r="J19" s="14">
        <f>'CAPEX &amp; Financing'!K33 + I19</f>
        <v>0</v>
      </c>
      <c r="K19" s="14">
        <f>'CAPEX &amp; Financing'!L33 + J19</f>
        <v>0</v>
      </c>
      <c r="L19" s="14">
        <f>'CAPEX &amp; Financing'!M33 + K19</f>
        <v>0</v>
      </c>
      <c r="M19" s="14">
        <f>'CAPEX &amp; Financing'!N33 + L19</f>
        <v>0</v>
      </c>
      <c r="N19" s="14">
        <f>'CAPEX &amp; Financing'!O33 + M19</f>
        <v>0</v>
      </c>
    </row>
    <row r="20" spans="3:14">
      <c r="D20" s="8" t="s">
        <v>195</v>
      </c>
      <c r="E20" s="14"/>
      <c r="F20" s="296">
        <f>'CAPEX &amp; Financing'!G34 + E20</f>
        <v>71</v>
      </c>
      <c r="G20" s="14">
        <f>'CAPEX &amp; Financing'!H34 + F20</f>
        <v>71</v>
      </c>
      <c r="H20" s="559">
        <f>'CAPEX &amp; Financing'!I34 + G20</f>
        <v>71</v>
      </c>
      <c r="I20" s="14">
        <f>'CAPEX &amp; Financing'!J34 + H20</f>
        <v>71</v>
      </c>
      <c r="J20" s="14">
        <f>'CAPEX &amp; Financing'!K34 + I20</f>
        <v>71</v>
      </c>
      <c r="K20" s="14">
        <f>'CAPEX &amp; Financing'!L34 + J20</f>
        <v>71</v>
      </c>
      <c r="L20" s="14">
        <f>'CAPEX &amp; Financing'!M34 + K20</f>
        <v>71</v>
      </c>
      <c r="M20" s="14">
        <f>'CAPEX &amp; Financing'!N34 + L20</f>
        <v>71</v>
      </c>
      <c r="N20" s="14">
        <f>'CAPEX &amp; Financing'!O34 + M20</f>
        <v>71</v>
      </c>
    </row>
    <row r="21" spans="3:14">
      <c r="D21" s="8" t="s">
        <v>99</v>
      </c>
      <c r="E21" s="14"/>
      <c r="F21" s="296">
        <f>'CAPEX &amp; Financing'!G35 + E21</f>
        <v>0</v>
      </c>
      <c r="G21" s="14">
        <f>'CAPEX &amp; Financing'!H35 + F21</f>
        <v>0</v>
      </c>
      <c r="H21" s="559">
        <f>'CAPEX &amp; Financing'!I35 + G21</f>
        <v>0</v>
      </c>
      <c r="I21" s="14">
        <f>'CAPEX &amp; Financing'!J35 + H21</f>
        <v>0</v>
      </c>
      <c r="J21" s="14">
        <f>'CAPEX &amp; Financing'!K35 + I21</f>
        <v>0</v>
      </c>
      <c r="K21" s="14">
        <f>'CAPEX &amp; Financing'!L35 + J21</f>
        <v>0</v>
      </c>
      <c r="L21" s="14">
        <f>'CAPEX &amp; Financing'!M35 + K21</f>
        <v>0</v>
      </c>
      <c r="M21" s="14">
        <f>'CAPEX &amp; Financing'!N35 + L21</f>
        <v>0</v>
      </c>
      <c r="N21" s="14">
        <f>'CAPEX &amp; Financing'!O35 + M21</f>
        <v>0</v>
      </c>
    </row>
    <row r="22" spans="3:14">
      <c r="D22" s="8" t="s">
        <v>6</v>
      </c>
      <c r="E22" s="14"/>
      <c r="F22" s="296">
        <f>'CAPEX &amp; Financing'!G36 + E22</f>
        <v>69.944014150000001</v>
      </c>
      <c r="G22" s="14">
        <f>'CAPEX &amp; Financing'!H36 + F22</f>
        <v>174.860035375</v>
      </c>
      <c r="H22" s="559">
        <f>'CAPEX &amp; Financing'!I36 + G22</f>
        <v>349.72007074999999</v>
      </c>
      <c r="I22" s="14">
        <f>'CAPEX &amp; Financing'!J36 + H22</f>
        <v>423.91727145749996</v>
      </c>
      <c r="J22" s="14">
        <f>'CAPEX &amp; Financing'!K36 + I22</f>
        <v>463.46447216499996</v>
      </c>
      <c r="K22" s="14">
        <f>'CAPEX &amp; Financing'!L36 + J22</f>
        <v>478.11167287249998</v>
      </c>
      <c r="L22" s="14">
        <f>'CAPEX &amp; Financing'!M36 + K22</f>
        <v>482.75887358</v>
      </c>
      <c r="M22" s="14">
        <f>'CAPEX &amp; Financing'!N36 + L22</f>
        <v>487.40607428750002</v>
      </c>
      <c r="N22" s="14">
        <f>'CAPEX &amp; Financing'!O36 + M22</f>
        <v>492.05327499500004</v>
      </c>
    </row>
    <row r="23" spans="3:14">
      <c r="D23" s="8" t="s">
        <v>22</v>
      </c>
      <c r="E23" s="14"/>
      <c r="F23" s="296">
        <f>'CAPEX &amp; Financing'!G$37 + E23</f>
        <v>0</v>
      </c>
      <c r="G23" s="14">
        <f>'CAPEX &amp; Financing'!H$37 + F23</f>
        <v>48.733230000000006</v>
      </c>
      <c r="H23" s="559">
        <f>'CAPEX &amp; Financing'!I$37 + G23</f>
        <v>99.965600000000009</v>
      </c>
      <c r="I23" s="14">
        <f>'CAPEX &amp; Financing'!J$37 + H23</f>
        <v>124.95700000000001</v>
      </c>
      <c r="J23" s="14">
        <f>'CAPEX &amp; Financing'!K$37 + I23</f>
        <v>126.20657000000001</v>
      </c>
      <c r="K23" s="14">
        <f>'CAPEX &amp; Financing'!L$37 + J23</f>
        <v>127.45614000000002</v>
      </c>
      <c r="L23" s="14">
        <f>'CAPEX &amp; Financing'!M$37 + K23</f>
        <v>128.70571000000001</v>
      </c>
      <c r="M23" s="14">
        <f>'CAPEX &amp; Financing'!N$37 + L23</f>
        <v>129.95528000000002</v>
      </c>
      <c r="N23" s="14">
        <f>'CAPEX &amp; Financing'!O$37 + M23</f>
        <v>131.20485000000002</v>
      </c>
    </row>
    <row r="24" spans="3:14">
      <c r="D24" s="8" t="s">
        <v>374</v>
      </c>
      <c r="E24" s="14"/>
      <c r="F24" s="296">
        <f>'CAPEX &amp; Financing'!G$38 + E$24</f>
        <v>20</v>
      </c>
      <c r="G24" s="14">
        <f>'CAPEX &amp; Financing'!H$38 + F$24</f>
        <v>20</v>
      </c>
      <c r="H24" s="559">
        <f>'CAPEX &amp; Financing'!I$38 + G$24</f>
        <v>20</v>
      </c>
      <c r="I24" s="14">
        <f>'CAPEX &amp; Financing'!J$38 + H$24</f>
        <v>20</v>
      </c>
      <c r="J24" s="14">
        <f>'CAPEX &amp; Financing'!K$38 + I$24</f>
        <v>20</v>
      </c>
      <c r="K24" s="14">
        <f>'CAPEX &amp; Financing'!L$38 + J$24</f>
        <v>20</v>
      </c>
      <c r="L24" s="14">
        <f>'CAPEX &amp; Financing'!M$38 + K$24</f>
        <v>20</v>
      </c>
      <c r="M24" s="14">
        <f>'CAPEX &amp; Financing'!N$38 + L$24</f>
        <v>20</v>
      </c>
      <c r="N24" s="14">
        <f>'CAPEX &amp; Financing'!O$38 + M$24</f>
        <v>20</v>
      </c>
    </row>
    <row r="25" spans="3:14">
      <c r="D25" s="8" t="s">
        <v>631</v>
      </c>
      <c r="E25" s="14"/>
      <c r="F25" s="296">
        <f>'CAPEX &amp; Financing'!G$39 + E25</f>
        <v>0</v>
      </c>
      <c r="G25" s="14">
        <f>'CAPEX &amp; Financing'!H$39 + F25</f>
        <v>44.716768453500002</v>
      </c>
      <c r="H25" s="559">
        <f>'CAPEX &amp; Financing'!I$39 + G25</f>
        <v>91.726704519999998</v>
      </c>
      <c r="I25" s="14">
        <f>'CAPEX &amp; Financing'!J$39 + H25</f>
        <v>114.65838065</v>
      </c>
      <c r="J25" s="14">
        <f>'CAPEX &amp; Financing'!K$39 + I25</f>
        <v>127.1674644565</v>
      </c>
      <c r="K25" s="14">
        <f>'CAPEX &amp; Financing'!L$39 + J25</f>
        <v>142.31404826299999</v>
      </c>
      <c r="L25" s="14">
        <f>'CAPEX &amp; Financing'!M$39 + K25</f>
        <v>143.71063206949998</v>
      </c>
      <c r="M25" s="14">
        <f>'CAPEX &amp; Financing'!N$39 + L25</f>
        <v>145.10721587599997</v>
      </c>
      <c r="N25" s="14">
        <f>'CAPEX &amp; Financing'!O$39 + M25</f>
        <v>146.50379968249996</v>
      </c>
    </row>
    <row r="26" spans="3:14">
      <c r="D26" s="8" t="s">
        <v>519</v>
      </c>
      <c r="E26" s="14"/>
      <c r="F26" s="296">
        <f>'CAPEX &amp; Financing'!G$40 + E26</f>
        <v>0</v>
      </c>
      <c r="G26" s="14">
        <f>'CAPEX &amp; Financing'!H$40 + F26</f>
        <v>0</v>
      </c>
      <c r="H26" s="559">
        <f>'CAPEX &amp; Financing'!I$40 + G26</f>
        <v>0</v>
      </c>
      <c r="I26" s="14">
        <f>'CAPEX &amp; Financing'!J$40 + H26</f>
        <v>0</v>
      </c>
      <c r="J26" s="14">
        <f>'CAPEX &amp; Financing'!K$40 + I26</f>
        <v>0</v>
      </c>
      <c r="K26" s="14">
        <f>'CAPEX &amp; Financing'!L$40 + J26</f>
        <v>0</v>
      </c>
      <c r="L26" s="14">
        <f>'CAPEX &amp; Financing'!M$40 + K26</f>
        <v>0</v>
      </c>
      <c r="M26" s="14">
        <f>'CAPEX &amp; Financing'!N$40 + L26</f>
        <v>0</v>
      </c>
      <c r="N26" s="14">
        <f>'CAPEX &amp; Financing'!O$40 + M26</f>
        <v>0</v>
      </c>
    </row>
    <row r="27" spans="3:14">
      <c r="D27" s="8" t="s">
        <v>483</v>
      </c>
      <c r="E27" s="14"/>
      <c r="F27" s="296">
        <f>-'CAPEX &amp; Financing'!G$64</f>
        <v>-15.066666666666668</v>
      </c>
      <c r="G27" s="14">
        <f>-'CAPEX &amp; Financing'!H$64</f>
        <v>-39.749333333333333</v>
      </c>
      <c r="H27" s="14">
        <f>-'CAPEX &amp; Financing'!I$64</f>
        <v>-94.429804716666666</v>
      </c>
      <c r="I27" s="14">
        <f>-'CAPEX &amp; Financing'!J$64</f>
        <v>-183.42490690049999</v>
      </c>
      <c r="J27" s="14">
        <f>-'CAPEX &amp; Financing'!K$64</f>
        <v>-284.95767163903332</v>
      </c>
      <c r="K27" s="14">
        <f>-'CAPEX &amp; Financing'!L$64</f>
        <v>-397.71976559893335</v>
      </c>
      <c r="L27" s="14">
        <f>-'CAPEX &amp; Financing'!M$64</f>
        <v>-519.21118878020002</v>
      </c>
      <c r="M27" s="14">
        <f>-'CAPEX &amp; Financing'!N$64</f>
        <v>-649.43194118283338</v>
      </c>
      <c r="N27" s="14">
        <f>-'CAPEX &amp; Financing'!O$64</f>
        <v>-788.38202280683345</v>
      </c>
    </row>
    <row r="28" spans="3:14">
      <c r="C28" s="100" t="s">
        <v>326</v>
      </c>
      <c r="E28" s="223">
        <f t="shared" ref="E28:L28" si="17">SUM(E16:E27)</f>
        <v>82.2</v>
      </c>
      <c r="F28" s="297">
        <f t="shared" si="17"/>
        <v>238.07734748333331</v>
      </c>
      <c r="G28" s="223">
        <f t="shared" si="17"/>
        <v>427.92070049516667</v>
      </c>
      <c r="H28" s="223">
        <f t="shared" si="17"/>
        <v>659.84057055333335</v>
      </c>
      <c r="I28" s="223">
        <f t="shared" si="17"/>
        <v>704.30274520699993</v>
      </c>
      <c r="J28" s="223">
        <f t="shared" si="17"/>
        <v>657.57583498246663</v>
      </c>
      <c r="K28" s="223">
        <f t="shared" si="17"/>
        <v>577.3570955365667</v>
      </c>
      <c r="L28" s="223">
        <f t="shared" si="17"/>
        <v>464.65902686929985</v>
      </c>
      <c r="M28" s="223">
        <f t="shared" ref="M28:N28" si="18">SUM(M16:M27)</f>
        <v>343.23162898066664</v>
      </c>
      <c r="N28" s="223">
        <f t="shared" si="18"/>
        <v>213.07490187066651</v>
      </c>
    </row>
    <row r="29" spans="3:14" ht="3.75" customHeight="1">
      <c r="E29" s="14"/>
      <c r="F29" s="296"/>
      <c r="G29" s="14"/>
      <c r="H29" s="14"/>
      <c r="I29" s="14"/>
      <c r="J29" s="14"/>
      <c r="K29" s="14"/>
      <c r="L29" s="14"/>
      <c r="M29" s="14"/>
      <c r="N29" s="14"/>
    </row>
    <row r="30" spans="3:14">
      <c r="C30" s="100" t="s">
        <v>338</v>
      </c>
      <c r="E30" s="14"/>
      <c r="F30" s="296"/>
      <c r="G30" s="14"/>
      <c r="H30" s="14"/>
      <c r="I30" s="14"/>
      <c r="J30" s="14"/>
      <c r="K30" s="14"/>
      <c r="L30" s="14"/>
      <c r="M30" s="14"/>
      <c r="N30" s="14"/>
    </row>
    <row r="31" spans="3:14">
      <c r="D31" s="8" t="s">
        <v>97</v>
      </c>
      <c r="E31" s="14">
        <v>4.8</v>
      </c>
      <c r="F31" s="296">
        <f>'CAPEX &amp; Financing'!G$25 + E$31</f>
        <v>4.8</v>
      </c>
      <c r="G31" s="14">
        <f>'CAPEX &amp; Financing'!H$25 + F$31</f>
        <v>4.8</v>
      </c>
      <c r="H31" s="14">
        <f>'CAPEX &amp; Financing'!I$25 + G$31</f>
        <v>4.8</v>
      </c>
      <c r="I31" s="14">
        <f>'CAPEX &amp; Financing'!J$25 + H$31</f>
        <v>4.8</v>
      </c>
      <c r="J31" s="14">
        <f>'CAPEX &amp; Financing'!K$25 + I$31</f>
        <v>4.8</v>
      </c>
      <c r="K31" s="14">
        <f>'CAPEX &amp; Financing'!L$25 + J$31</f>
        <v>4.8</v>
      </c>
      <c r="L31" s="14">
        <f>'CAPEX &amp; Financing'!M$25 + K$31</f>
        <v>4.8</v>
      </c>
      <c r="M31" s="14">
        <f>'CAPEX &amp; Financing'!N$25 + L$31</f>
        <v>4.8</v>
      </c>
      <c r="N31" s="14">
        <f>'CAPEX &amp; Financing'!O$25 + M$31</f>
        <v>4.8</v>
      </c>
    </row>
    <row r="32" spans="3:14">
      <c r="D32" s="8" t="s">
        <v>341</v>
      </c>
      <c r="E32" s="14">
        <v>3.3</v>
      </c>
      <c r="F32" s="296">
        <f t="shared" ref="F32:L32" si="19">E32</f>
        <v>3.3</v>
      </c>
      <c r="G32" s="14">
        <f t="shared" si="19"/>
        <v>3.3</v>
      </c>
      <c r="H32" s="14">
        <f t="shared" si="19"/>
        <v>3.3</v>
      </c>
      <c r="I32" s="14">
        <f t="shared" si="19"/>
        <v>3.3</v>
      </c>
      <c r="J32" s="14">
        <f t="shared" si="19"/>
        <v>3.3</v>
      </c>
      <c r="K32" s="14">
        <f t="shared" si="19"/>
        <v>3.3</v>
      </c>
      <c r="L32" s="14">
        <f t="shared" si="19"/>
        <v>3.3</v>
      </c>
      <c r="M32" s="14">
        <f t="shared" ref="M32" si="20">L32</f>
        <v>3.3</v>
      </c>
      <c r="N32" s="14">
        <f t="shared" ref="N32" si="21">M32</f>
        <v>3.3</v>
      </c>
    </row>
    <row r="33" spans="2:14">
      <c r="C33" s="100" t="s">
        <v>339</v>
      </c>
      <c r="E33" s="223">
        <f t="shared" ref="E33:L33" si="22">SUM(E31:E32)</f>
        <v>8.1</v>
      </c>
      <c r="F33" s="297">
        <f t="shared" si="22"/>
        <v>8.1</v>
      </c>
      <c r="G33" s="223">
        <f t="shared" si="22"/>
        <v>8.1</v>
      </c>
      <c r="H33" s="223">
        <f t="shared" si="22"/>
        <v>8.1</v>
      </c>
      <c r="I33" s="223">
        <f t="shared" si="22"/>
        <v>8.1</v>
      </c>
      <c r="J33" s="223">
        <f t="shared" si="22"/>
        <v>8.1</v>
      </c>
      <c r="K33" s="223">
        <f t="shared" si="22"/>
        <v>8.1</v>
      </c>
      <c r="L33" s="223">
        <f t="shared" si="22"/>
        <v>8.1</v>
      </c>
      <c r="M33" s="223">
        <f t="shared" ref="M33:N33" si="23">SUM(M31:M32)</f>
        <v>8.1</v>
      </c>
      <c r="N33" s="223">
        <f t="shared" si="23"/>
        <v>8.1</v>
      </c>
    </row>
    <row r="34" spans="2:14" ht="3.75" customHeight="1">
      <c r="E34" s="14"/>
      <c r="F34" s="296"/>
      <c r="G34" s="14"/>
      <c r="H34" s="14"/>
      <c r="I34" s="14"/>
      <c r="J34" s="14"/>
      <c r="K34" s="14"/>
      <c r="L34" s="14"/>
      <c r="M34" s="14"/>
      <c r="N34" s="14"/>
    </row>
    <row r="35" spans="2:14">
      <c r="C35" s="100" t="s">
        <v>327</v>
      </c>
      <c r="E35" s="223">
        <v>37.299999999999997</v>
      </c>
      <c r="F35" s="297">
        <f t="shared" ref="F35:L35" si="24">E35</f>
        <v>37.299999999999997</v>
      </c>
      <c r="G35" s="223">
        <f t="shared" si="24"/>
        <v>37.299999999999997</v>
      </c>
      <c r="H35" s="223">
        <f t="shared" si="24"/>
        <v>37.299999999999997</v>
      </c>
      <c r="I35" s="223">
        <f t="shared" si="24"/>
        <v>37.299999999999997</v>
      </c>
      <c r="J35" s="223">
        <f t="shared" si="24"/>
        <v>37.299999999999997</v>
      </c>
      <c r="K35" s="223">
        <f t="shared" si="24"/>
        <v>37.299999999999997</v>
      </c>
      <c r="L35" s="223">
        <f t="shared" si="24"/>
        <v>37.299999999999997</v>
      </c>
      <c r="M35" s="223">
        <f t="shared" ref="M35" si="25">L35</f>
        <v>37.299999999999997</v>
      </c>
      <c r="N35" s="223">
        <f t="shared" ref="N35" si="26">M35</f>
        <v>37.299999999999997</v>
      </c>
    </row>
    <row r="36" spans="2:14" ht="3.75" customHeight="1">
      <c r="E36" s="14"/>
      <c r="F36" s="296"/>
      <c r="G36" s="14"/>
      <c r="H36" s="14"/>
      <c r="I36" s="14"/>
      <c r="J36" s="14"/>
      <c r="K36" s="14"/>
      <c r="L36" s="14"/>
      <c r="M36" s="14"/>
      <c r="N36" s="14"/>
    </row>
    <row r="37" spans="2:14">
      <c r="B37" s="12" t="s">
        <v>328</v>
      </c>
      <c r="C37" s="12"/>
      <c r="D37" s="12"/>
      <c r="E37" s="222">
        <f t="shared" ref="E37:L37" si="27">E13+E28+E33+E35</f>
        <v>392.30000000000007</v>
      </c>
      <c r="F37" s="298">
        <f t="shared" si="27"/>
        <v>848.81524318186678</v>
      </c>
      <c r="G37" s="222">
        <f t="shared" si="27"/>
        <v>858.20294748239314</v>
      </c>
      <c r="H37" s="222">
        <f t="shared" si="27"/>
        <v>876.92824926273909</v>
      </c>
      <c r="I37" s="222">
        <f t="shared" si="27"/>
        <v>943.65535334526533</v>
      </c>
      <c r="J37" s="222">
        <f t="shared" si="27"/>
        <v>918.05141297200908</v>
      </c>
      <c r="K37" s="222">
        <f t="shared" si="27"/>
        <v>919.22130514010212</v>
      </c>
      <c r="L37" s="222">
        <f t="shared" si="27"/>
        <v>853.77996960494806</v>
      </c>
      <c r="M37" s="222">
        <f t="shared" ref="M37:N37" si="28">M13+M28+M33+M35</f>
        <v>856.05114283209707</v>
      </c>
      <c r="N37" s="222">
        <f t="shared" si="28"/>
        <v>851.36270798191481</v>
      </c>
    </row>
    <row r="38" spans="2:14" ht="3.75" customHeight="1">
      <c r="E38" s="14"/>
      <c r="F38" s="296"/>
      <c r="G38" s="14"/>
      <c r="H38" s="14"/>
      <c r="I38" s="14"/>
      <c r="J38" s="14"/>
      <c r="K38" s="14"/>
      <c r="L38" s="14"/>
      <c r="M38" s="14"/>
      <c r="N38" s="14"/>
    </row>
    <row r="39" spans="2:14">
      <c r="B39" s="100" t="s">
        <v>329</v>
      </c>
      <c r="E39" s="14"/>
      <c r="F39" s="296"/>
      <c r="G39" s="14"/>
      <c r="H39" s="14"/>
      <c r="I39" s="14"/>
      <c r="J39" s="14"/>
      <c r="K39" s="14"/>
      <c r="L39" s="14"/>
      <c r="M39" s="14"/>
      <c r="N39" s="14"/>
    </row>
    <row r="40" spans="2:14">
      <c r="C40" s="100" t="s">
        <v>330</v>
      </c>
      <c r="E40" s="14"/>
      <c r="F40" s="296"/>
      <c r="G40" s="14"/>
      <c r="H40" s="14"/>
      <c r="I40" s="14"/>
      <c r="J40" s="14"/>
      <c r="K40" s="14"/>
      <c r="L40" s="14"/>
      <c r="M40" s="14"/>
      <c r="N40" s="14"/>
    </row>
    <row r="41" spans="2:14">
      <c r="D41" s="8" t="s">
        <v>369</v>
      </c>
      <c r="E41" s="14">
        <v>6.3</v>
      </c>
      <c r="F41" s="296">
        <f t="shared" ref="F41:L41" si="29">F81</f>
        <v>17.06363203849126</v>
      </c>
      <c r="G41" s="14">
        <f t="shared" si="29"/>
        <v>16.418116078647646</v>
      </c>
      <c r="H41" s="14">
        <f t="shared" si="29"/>
        <v>19.767329090479912</v>
      </c>
      <c r="I41" s="14">
        <f t="shared" si="29"/>
        <v>31.881497390197996</v>
      </c>
      <c r="J41" s="14">
        <f t="shared" si="29"/>
        <v>45.65064706735577</v>
      </c>
      <c r="K41" s="14">
        <f t="shared" si="29"/>
        <v>51.246972563037346</v>
      </c>
      <c r="L41" s="14">
        <f t="shared" si="29"/>
        <v>54.22162782999802</v>
      </c>
      <c r="M41" s="14">
        <f t="shared" ref="M41:N41" si="30">M81</f>
        <v>55.918820821166477</v>
      </c>
      <c r="N41" s="14">
        <f t="shared" si="30"/>
        <v>56.377658637096552</v>
      </c>
    </row>
    <row r="42" spans="2:14">
      <c r="D42" s="8" t="s">
        <v>370</v>
      </c>
      <c r="E42" s="14">
        <f>36.2-E41</f>
        <v>29.900000000000002</v>
      </c>
      <c r="F42" s="296">
        <f t="shared" ref="F42:L42" si="31">E42</f>
        <v>29.900000000000002</v>
      </c>
      <c r="G42" s="14">
        <f t="shared" si="31"/>
        <v>29.900000000000002</v>
      </c>
      <c r="H42" s="14">
        <f t="shared" si="31"/>
        <v>29.900000000000002</v>
      </c>
      <c r="I42" s="14">
        <f t="shared" si="31"/>
        <v>29.900000000000002</v>
      </c>
      <c r="J42" s="14">
        <f t="shared" si="31"/>
        <v>29.900000000000002</v>
      </c>
      <c r="K42" s="14">
        <f t="shared" si="31"/>
        <v>29.900000000000002</v>
      </c>
      <c r="L42" s="14">
        <f t="shared" si="31"/>
        <v>29.900000000000002</v>
      </c>
      <c r="M42" s="14">
        <f t="shared" ref="M42" si="32">L42</f>
        <v>29.900000000000002</v>
      </c>
      <c r="N42" s="14">
        <f t="shared" ref="N42" si="33">M42</f>
        <v>29.900000000000002</v>
      </c>
    </row>
    <row r="43" spans="2:14">
      <c r="C43" s="100" t="s">
        <v>371</v>
      </c>
      <c r="E43" s="223">
        <f t="shared" ref="E43:L43" si="34">SUM(E41:E42)</f>
        <v>36.200000000000003</v>
      </c>
      <c r="F43" s="297">
        <f t="shared" si="34"/>
        <v>46.963632038491262</v>
      </c>
      <c r="G43" s="223">
        <f t="shared" si="34"/>
        <v>46.318116078647648</v>
      </c>
      <c r="H43" s="223">
        <f t="shared" si="34"/>
        <v>49.66732909047991</v>
      </c>
      <c r="I43" s="223">
        <f t="shared" si="34"/>
        <v>61.781497390197998</v>
      </c>
      <c r="J43" s="223">
        <f t="shared" si="34"/>
        <v>75.550647067355769</v>
      </c>
      <c r="K43" s="223">
        <f t="shared" si="34"/>
        <v>81.146972563037352</v>
      </c>
      <c r="L43" s="223">
        <f t="shared" si="34"/>
        <v>84.121627829998019</v>
      </c>
      <c r="M43" s="223">
        <f t="shared" ref="M43:N43" si="35">SUM(M41:M42)</f>
        <v>85.818820821166483</v>
      </c>
      <c r="N43" s="223">
        <f t="shared" si="35"/>
        <v>86.27765863709655</v>
      </c>
    </row>
    <row r="44" spans="2:14" ht="3.75" customHeight="1">
      <c r="E44" s="14"/>
      <c r="F44" s="296"/>
      <c r="G44" s="14"/>
      <c r="H44" s="14"/>
      <c r="I44" s="14"/>
      <c r="J44" s="14"/>
      <c r="K44" s="14"/>
      <c r="L44" s="14"/>
      <c r="M44" s="14"/>
      <c r="N44" s="14"/>
    </row>
    <row r="45" spans="2:14">
      <c r="C45" s="100" t="s">
        <v>331</v>
      </c>
      <c r="E45" s="14"/>
      <c r="F45" s="296"/>
      <c r="G45" s="14"/>
      <c r="H45" s="14"/>
      <c r="I45" s="14"/>
      <c r="J45" s="14"/>
      <c r="K45" s="14"/>
      <c r="L45" s="14"/>
      <c r="M45" s="14"/>
      <c r="N45" s="14"/>
    </row>
    <row r="46" spans="2:14">
      <c r="D46" s="8" t="s">
        <v>342</v>
      </c>
      <c r="E46" s="14">
        <v>35.6</v>
      </c>
      <c r="F46" s="296">
        <f t="shared" ref="F46:L46" si="36">E46</f>
        <v>35.6</v>
      </c>
      <c r="G46" s="14">
        <f t="shared" si="36"/>
        <v>35.6</v>
      </c>
      <c r="H46" s="14">
        <f t="shared" si="36"/>
        <v>35.6</v>
      </c>
      <c r="I46" s="14">
        <f t="shared" si="36"/>
        <v>35.6</v>
      </c>
      <c r="J46" s="14">
        <f t="shared" si="36"/>
        <v>35.6</v>
      </c>
      <c r="K46" s="14">
        <f t="shared" si="36"/>
        <v>35.6</v>
      </c>
      <c r="L46" s="14">
        <f t="shared" si="36"/>
        <v>35.6</v>
      </c>
      <c r="M46" s="14">
        <f t="shared" ref="M46:M47" si="37">L46</f>
        <v>35.6</v>
      </c>
      <c r="N46" s="14">
        <f t="shared" ref="N46:N47" si="38">M46</f>
        <v>35.6</v>
      </c>
    </row>
    <row r="47" spans="2:14">
      <c r="D47" s="8" t="s">
        <v>343</v>
      </c>
      <c r="E47" s="14">
        <f>56.5-E46</f>
        <v>20.9</v>
      </c>
      <c r="F47" s="296">
        <f t="shared" ref="F47:L47" si="39">E47</f>
        <v>20.9</v>
      </c>
      <c r="G47" s="14">
        <f t="shared" si="39"/>
        <v>20.9</v>
      </c>
      <c r="H47" s="14">
        <f t="shared" si="39"/>
        <v>20.9</v>
      </c>
      <c r="I47" s="14">
        <f t="shared" si="39"/>
        <v>20.9</v>
      </c>
      <c r="J47" s="14">
        <f t="shared" si="39"/>
        <v>20.9</v>
      </c>
      <c r="K47" s="14">
        <f t="shared" si="39"/>
        <v>20.9</v>
      </c>
      <c r="L47" s="14">
        <f t="shared" si="39"/>
        <v>20.9</v>
      </c>
      <c r="M47" s="14">
        <f t="shared" si="37"/>
        <v>20.9</v>
      </c>
      <c r="N47" s="14">
        <f t="shared" si="38"/>
        <v>20.9</v>
      </c>
    </row>
    <row r="48" spans="2:14">
      <c r="D48" s="8" t="s">
        <v>366</v>
      </c>
      <c r="E48" s="14"/>
      <c r="F48" s="567">
        <f>'CAPEX &amp; Financing'!G193 + 'CAPEX &amp; Financing'!G201 + 'CAPEX &amp; Financing'!G210 + 'CAPEX &amp; Financing'!G218</f>
        <v>92.163140650341958</v>
      </c>
      <c r="G48" s="559">
        <f>'CAPEX &amp; Financing'!H193 + 'CAPEX &amp; Financing'!H201 + 'CAPEX &amp; Financing'!H210 + 'CAPEX &amp; Financing'!H218</f>
        <v>179.04894072300976</v>
      </c>
      <c r="H48" s="14">
        <f>'CAPEX &amp; Financing'!I193 + 'CAPEX &amp; Financing'!I201 + 'CAPEX &amp; Financing'!I210 + 'CAPEX &amp; Financing'!I218</f>
        <v>279.50712376817114</v>
      </c>
      <c r="I48" s="14">
        <f>'CAPEX &amp; Financing'!J193 + 'CAPEX &amp; Financing'!J201 + 'CAPEX &amp; Financing'!J210 + 'CAPEX &amp; Financing'!J218</f>
        <v>401.41322608362293</v>
      </c>
      <c r="J48" s="14">
        <f>'CAPEX &amp; Financing'!K193 + 'CAPEX &amp; Financing'!K201 + 'CAPEX &amp; Financing'!K210 + 'CAPEX &amp; Financing'!K218</f>
        <v>354.64157778529415</v>
      </c>
      <c r="K48" s="559">
        <f>'CAPEX &amp; Financing'!L193 + 'CAPEX &amp; Financing'!L201 + 'CAPEX &amp; Financing'!L210 + 'CAPEX &amp; Financing'!L218</f>
        <v>333.57350259411101</v>
      </c>
      <c r="L48" s="14">
        <f>'CAPEX &amp; Financing'!M193 + 'CAPEX &amp; Financing'!M201 + 'CAPEX &amp; Financing'!M210 + 'CAPEX &amp; Financing'!M218</f>
        <v>248.95855777886675</v>
      </c>
      <c r="M48" s="14">
        <f>'CAPEX &amp; Financing'!N193 + 'CAPEX &amp; Financing'!N201 + 'CAPEX &amp; Financing'!N210 + 'CAPEX &amp; Financing'!N218</f>
        <v>227.64385658038529</v>
      </c>
      <c r="N48" s="14">
        <f>'CAPEX &amp; Financing'!O193 + 'CAPEX &amp; Financing'!O201 + 'CAPEX &amp; Financing'!O210 + 'CAPEX &amp; Financing'!O218</f>
        <v>206.74972176337991</v>
      </c>
    </row>
    <row r="49" spans="2:14">
      <c r="C49" s="100" t="s">
        <v>334</v>
      </c>
      <c r="E49" s="223">
        <f t="shared" ref="E49:L49" si="40">SUM(E46:E48)</f>
        <v>56.5</v>
      </c>
      <c r="F49" s="297">
        <f t="shared" si="40"/>
        <v>148.66314065034197</v>
      </c>
      <c r="G49" s="565">
        <f t="shared" si="40"/>
        <v>235.54894072300976</v>
      </c>
      <c r="H49" s="223">
        <f t="shared" si="40"/>
        <v>336.00712376817114</v>
      </c>
      <c r="I49" s="223">
        <f t="shared" si="40"/>
        <v>457.91322608362293</v>
      </c>
      <c r="J49" s="223">
        <f t="shared" si="40"/>
        <v>411.14157778529415</v>
      </c>
      <c r="K49" s="223">
        <f t="shared" si="40"/>
        <v>390.07350259411101</v>
      </c>
      <c r="L49" s="223">
        <f t="shared" si="40"/>
        <v>305.45855777886675</v>
      </c>
      <c r="M49" s="223">
        <f t="shared" ref="M49:N49" si="41">SUM(M46:M48)</f>
        <v>284.14385658038532</v>
      </c>
      <c r="N49" s="223">
        <f t="shared" si="41"/>
        <v>263.24972176337991</v>
      </c>
    </row>
    <row r="50" spans="2:14" ht="3.75" customHeight="1">
      <c r="E50" s="14"/>
      <c r="F50" s="296"/>
      <c r="G50" s="14"/>
      <c r="H50" s="14"/>
      <c r="I50" s="14"/>
      <c r="J50" s="14"/>
      <c r="K50" s="14"/>
      <c r="L50" s="14"/>
      <c r="M50" s="14"/>
      <c r="N50" s="14"/>
    </row>
    <row r="51" spans="2:14">
      <c r="C51" s="100" t="s">
        <v>332</v>
      </c>
      <c r="E51" s="14"/>
      <c r="F51" s="296">
        <f>+F48-E48</f>
        <v>92.163140650341958</v>
      </c>
      <c r="G51" s="296">
        <f t="shared" ref="G51:N51" si="42">+G48-F48</f>
        <v>86.885800072667806</v>
      </c>
      <c r="H51" s="296">
        <f t="shared" si="42"/>
        <v>100.45818304516138</v>
      </c>
      <c r="I51" s="296">
        <f t="shared" si="42"/>
        <v>121.90610231545179</v>
      </c>
      <c r="J51" s="296">
        <f t="shared" si="42"/>
        <v>-46.771648298328785</v>
      </c>
      <c r="K51" s="296">
        <f t="shared" si="42"/>
        <v>-21.068075191183141</v>
      </c>
      <c r="L51" s="296">
        <f t="shared" si="42"/>
        <v>-84.614944815244257</v>
      </c>
      <c r="M51" s="296">
        <f t="shared" si="42"/>
        <v>-21.314701198481458</v>
      </c>
      <c r="N51" s="296">
        <f t="shared" si="42"/>
        <v>-20.89413481700538</v>
      </c>
    </row>
    <row r="52" spans="2:14">
      <c r="D52" s="8" t="s">
        <v>344</v>
      </c>
      <c r="E52" s="14">
        <v>751.2</v>
      </c>
      <c r="F52" s="296">
        <f t="shared" ref="F52:L52" si="43">E52</f>
        <v>751.2</v>
      </c>
      <c r="G52" s="14">
        <f t="shared" si="43"/>
        <v>751.2</v>
      </c>
      <c r="H52" s="14">
        <f t="shared" si="43"/>
        <v>751.2</v>
      </c>
      <c r="I52" s="14">
        <f t="shared" si="43"/>
        <v>751.2</v>
      </c>
      <c r="J52" s="14">
        <f t="shared" si="43"/>
        <v>751.2</v>
      </c>
      <c r="K52" s="14">
        <f t="shared" si="43"/>
        <v>751.2</v>
      </c>
      <c r="L52" s="14">
        <f t="shared" si="43"/>
        <v>751.2</v>
      </c>
      <c r="M52" s="14">
        <f t="shared" ref="M52" si="44">L52</f>
        <v>751.2</v>
      </c>
      <c r="N52" s="14">
        <f t="shared" ref="N52" si="45">M52</f>
        <v>751.2</v>
      </c>
    </row>
    <row r="53" spans="2:14">
      <c r="D53" s="8" t="s">
        <v>365</v>
      </c>
      <c r="E53" s="14"/>
      <c r="F53" s="296">
        <f>'CAPEX &amp; Financing'!G$75 + E53</f>
        <v>500</v>
      </c>
      <c r="G53" s="14">
        <f>'CAPEX &amp; Financing'!H$75 + F53</f>
        <v>544.71676845349998</v>
      </c>
      <c r="H53" s="14">
        <f>'CAPEX &amp; Financing'!I$75 + G53</f>
        <v>591.72670452</v>
      </c>
      <c r="I53" s="14">
        <f>'CAPEX &amp; Financing'!J$75 + H53</f>
        <v>614.65838065000003</v>
      </c>
      <c r="J53" s="14">
        <f>'CAPEX &amp; Financing'!K$75 + I53</f>
        <v>625.90838065000003</v>
      </c>
      <c r="K53" s="14">
        <f>'CAPEX &amp; Financing'!L$75 + J53</f>
        <v>639.65838065000003</v>
      </c>
      <c r="L53" s="14">
        <f>'CAPEX &amp; Financing'!M$75 + K53</f>
        <v>639.65838065000003</v>
      </c>
      <c r="M53" s="14">
        <f>'CAPEX &amp; Financing'!N$75 + L53</f>
        <v>639.65838065000003</v>
      </c>
      <c r="N53" s="14">
        <f>'CAPEX &amp; Financing'!O$75 + M53</f>
        <v>639.65838065000003</v>
      </c>
    </row>
    <row r="54" spans="2:14">
      <c r="D54" s="8" t="s">
        <v>484</v>
      </c>
      <c r="E54" s="14">
        <v>-451.6</v>
      </c>
      <c r="F54" s="296">
        <f>E54 + ('PD Global'!C$268 / 1000)</f>
        <v>-598.01152950696667</v>
      </c>
      <c r="G54" s="14">
        <f>F54 + ('PD Global'!D$268 / 1000)</f>
        <v>-719.58087777276421</v>
      </c>
      <c r="H54" s="14">
        <f>G54 + ('PD Global'!E$268 / 1000)</f>
        <v>-851.67290811591181</v>
      </c>
      <c r="I54" s="14">
        <f>H54 + ('PD Global'!F$268 / 1000)</f>
        <v>-941.89775077855552</v>
      </c>
      <c r="J54" s="14">
        <f>I54 + ('PD Global'!G$268 / 1000)</f>
        <v>-945.74919253064093</v>
      </c>
      <c r="K54" s="14">
        <f>J54 + ('PD Global'!H$268 / 1000)</f>
        <v>-942.85755066704633</v>
      </c>
      <c r="L54" s="14">
        <f>K54 + ('PD Global'!I$268 / 1000)</f>
        <v>-926.65859665391667</v>
      </c>
      <c r="M54" s="14">
        <f>L54 + ('PD Global'!J$268 / 1000)</f>
        <v>-904.76991521945479</v>
      </c>
      <c r="N54" s="14">
        <f>M54 + ('PD Global'!K$268 / 1000)</f>
        <v>-889.02305306856169</v>
      </c>
    </row>
    <row r="55" spans="2:14">
      <c r="C55" s="100" t="s">
        <v>335</v>
      </c>
      <c r="E55" s="223">
        <f t="shared" ref="E55:L55" si="46">SUM(E52:E54)</f>
        <v>299.60000000000002</v>
      </c>
      <c r="F55" s="297">
        <f t="shared" si="46"/>
        <v>653.18847049303338</v>
      </c>
      <c r="G55" s="223">
        <f t="shared" si="46"/>
        <v>576.33589068073582</v>
      </c>
      <c r="H55" s="223">
        <f t="shared" si="46"/>
        <v>491.25379640408812</v>
      </c>
      <c r="I55" s="223">
        <f t="shared" si="46"/>
        <v>423.96062987144455</v>
      </c>
      <c r="J55" s="223">
        <f t="shared" si="46"/>
        <v>431.35918811935915</v>
      </c>
      <c r="K55" s="223">
        <f t="shared" si="46"/>
        <v>448.00082998295375</v>
      </c>
      <c r="L55" s="223">
        <f t="shared" si="46"/>
        <v>464.1997839960834</v>
      </c>
      <c r="M55" s="223">
        <f t="shared" ref="M55:N55" si="47">SUM(M52:M54)</f>
        <v>486.08846543054528</v>
      </c>
      <c r="N55" s="223">
        <f t="shared" si="47"/>
        <v>501.83532758143838</v>
      </c>
    </row>
    <row r="56" spans="2:14" ht="3.75" customHeight="1">
      <c r="E56" s="14"/>
      <c r="F56" s="296"/>
      <c r="G56" s="14"/>
      <c r="H56" s="14"/>
      <c r="I56" s="14"/>
      <c r="J56" s="14"/>
      <c r="K56" s="14"/>
      <c r="L56" s="14"/>
      <c r="M56" s="14"/>
      <c r="N56" s="14"/>
    </row>
    <row r="57" spans="2:14">
      <c r="B57" s="12" t="s">
        <v>333</v>
      </c>
      <c r="C57" s="12"/>
      <c r="D57" s="12"/>
      <c r="E57" s="222">
        <f t="shared" ref="E57:L57" si="48">E43+E49+E55</f>
        <v>392.3</v>
      </c>
      <c r="F57" s="298">
        <f t="shared" si="48"/>
        <v>848.81524318186666</v>
      </c>
      <c r="G57" s="222">
        <f t="shared" si="48"/>
        <v>858.20294748239326</v>
      </c>
      <c r="H57" s="222">
        <f t="shared" si="48"/>
        <v>876.9282492627392</v>
      </c>
      <c r="I57" s="222">
        <f t="shared" si="48"/>
        <v>943.65535334526544</v>
      </c>
      <c r="J57" s="222">
        <f t="shared" si="48"/>
        <v>918.05141297200908</v>
      </c>
      <c r="K57" s="222">
        <f t="shared" si="48"/>
        <v>919.22130514010212</v>
      </c>
      <c r="L57" s="222">
        <f t="shared" si="48"/>
        <v>853.77996960494818</v>
      </c>
      <c r="M57" s="222">
        <f t="shared" ref="M57:N57" si="49">M43+M49+M55</f>
        <v>856.05114283209707</v>
      </c>
      <c r="N57" s="222">
        <f t="shared" si="49"/>
        <v>851.36270798191481</v>
      </c>
    </row>
    <row r="58" spans="2:14" ht="3.75" customHeight="1">
      <c r="E58" s="14"/>
      <c r="F58" s="296"/>
      <c r="G58" s="14"/>
      <c r="H58" s="14"/>
      <c r="I58" s="14"/>
      <c r="J58" s="14"/>
      <c r="K58" s="14"/>
      <c r="L58" s="14"/>
      <c r="M58" s="14"/>
      <c r="N58" s="14"/>
    </row>
    <row r="59" spans="2:14">
      <c r="B59" s="12" t="s">
        <v>95</v>
      </c>
      <c r="C59" s="12"/>
      <c r="D59" s="12"/>
      <c r="E59" s="222"/>
      <c r="F59" s="298"/>
      <c r="G59" s="222"/>
      <c r="H59" s="222"/>
      <c r="I59" s="222"/>
      <c r="J59" s="222"/>
      <c r="K59" s="222"/>
      <c r="L59" s="222"/>
      <c r="M59" s="222"/>
      <c r="N59" s="222"/>
    </row>
    <row r="60" spans="2:14">
      <c r="C60" s="100" t="s">
        <v>321</v>
      </c>
      <c r="E60" s="14"/>
      <c r="F60" s="296"/>
      <c r="G60" s="14"/>
      <c r="H60" s="14"/>
      <c r="I60" s="14"/>
      <c r="J60" s="14"/>
      <c r="K60" s="14"/>
      <c r="L60" s="14"/>
      <c r="M60" s="14"/>
      <c r="N60" s="14"/>
    </row>
    <row r="61" spans="2:14">
      <c r="D61" s="290" t="s">
        <v>486</v>
      </c>
      <c r="E61" s="14"/>
      <c r="F61" s="296"/>
      <c r="G61" s="14"/>
      <c r="H61" s="14"/>
      <c r="I61" s="14"/>
      <c r="J61" s="14"/>
      <c r="K61" s="14"/>
      <c r="L61" s="14"/>
      <c r="M61" s="14"/>
      <c r="N61" s="14"/>
    </row>
    <row r="62" spans="2:14">
      <c r="D62" s="103" t="s">
        <v>346</v>
      </c>
      <c r="E62" s="14"/>
      <c r="F62" s="296">
        <f>(Ingredients!E61+Ingredients!P61+Ingredients!AA61+Ingredients!AL61+Ingredients!AW61) / 1000</f>
        <v>1.9154761643835618</v>
      </c>
      <c r="G62" s="14">
        <f>(Ingredients!F61+Ingredients!Q61+Ingredients!AB61+Ingredients!AM61+Ingredients!AX61) / 1000</f>
        <v>3.9777534246575343</v>
      </c>
      <c r="H62" s="14">
        <f>(Ingredients!G61+Ingredients!R61+Ingredients!AC61+Ingredients!AN61+Ingredients!AY61) / 1000</f>
        <v>6.2111156433123815</v>
      </c>
      <c r="I62" s="14">
        <f>(Ingredients!H61+Ingredients!S61+Ingredients!AD61+Ingredients!AO61+Ingredients!AZ61) / 1000</f>
        <v>11.190718405678437</v>
      </c>
      <c r="J62" s="14">
        <f>(Ingredients!I61+Ingredients!T61+Ingredients!AE61+Ingredients!AP61+Ingredients!BA61) / 1000</f>
        <v>10.19712769881418</v>
      </c>
      <c r="K62" s="14">
        <f>(Ingredients!J61+Ingredients!U61+Ingredients!AF61+Ingredients!AQ61+Ingredients!BB61) / 1000</f>
        <v>11.880680166807302</v>
      </c>
      <c r="L62" s="14">
        <f>(Ingredients!K61+Ingredients!V61+Ingredients!AG61+Ingredients!AR61+Ingredients!BC61) / 1000</f>
        <v>12.695394891728917</v>
      </c>
      <c r="M62" s="14">
        <f>(Ingredients!L61+Ingredients!W61+Ingredients!AH61+Ingredients!AS61+Ingredients!BD61) / 1000</f>
        <v>13.20594211374528</v>
      </c>
      <c r="N62" s="14">
        <f>(Ingredients!M61+Ingredients!X61+Ingredients!AI61+Ingredients!AT61+Ingredients!BE61) / 1000</f>
        <v>13.248299641798992</v>
      </c>
    </row>
    <row r="63" spans="2:14">
      <c r="D63" s="291" t="s">
        <v>487</v>
      </c>
      <c r="E63" s="14"/>
      <c r="F63" s="296"/>
      <c r="G63" s="14"/>
      <c r="H63" s="14"/>
      <c r="I63" s="14"/>
      <c r="J63" s="14"/>
      <c r="K63" s="14"/>
      <c r="L63" s="14"/>
      <c r="M63" s="14"/>
      <c r="N63" s="14"/>
    </row>
    <row r="64" spans="2:14">
      <c r="D64" s="107" t="s">
        <v>345</v>
      </c>
      <c r="E64" s="14"/>
      <c r="F64" s="296">
        <f>('PD Global'!C63+'PD Global'!C64+'PD Global'!C65) / 1000</f>
        <v>35.447949999999999</v>
      </c>
      <c r="G64" s="14">
        <f>('PD Global'!D63+'PD Global'!D64+'PD Global'!D65) / 1000</f>
        <v>41.040776999999999</v>
      </c>
      <c r="H64" s="14">
        <f>('PD Global'!E63+'PD Global'!E64+'PD Global'!E65) / 1000</f>
        <v>43.970071689999997</v>
      </c>
      <c r="I64" s="14">
        <f>('PD Global'!F63+'PD Global'!F64+'PD Global'!F65) / 1000</f>
        <v>47.172948198299999</v>
      </c>
      <c r="J64" s="14">
        <f>('PD Global'!G63+'PD Global'!G64+'PD Global'!G65) / 1000</f>
        <v>50.676279759000998</v>
      </c>
      <c r="K64" s="14">
        <f>('PD Global'!H63+'PD Global'!H64+'PD Global'!H65) / 1000</f>
        <v>52.732762565818078</v>
      </c>
      <c r="L64" s="14">
        <f>('PD Global'!I63+'PD Global'!I64+'PD Global'!I65) / 1000</f>
        <v>54.949805667292615</v>
      </c>
      <c r="M64" s="14">
        <f>('PD Global'!J63+'PD Global'!J64+'PD Global'!J65) / 1000</f>
        <v>54.724114384973888</v>
      </c>
      <c r="N64" s="14">
        <f>('PD Global'!K63+'PD Global'!K64+'PD Global'!K65) / 1000</f>
        <v>55.096860316523106</v>
      </c>
    </row>
    <row r="65" spans="3:14">
      <c r="D65" s="107" t="s">
        <v>102</v>
      </c>
      <c r="E65" s="1"/>
      <c r="F65" s="299">
        <v>20</v>
      </c>
      <c r="G65" s="1">
        <v>20</v>
      </c>
      <c r="H65" s="1">
        <v>20</v>
      </c>
      <c r="I65" s="1">
        <v>20</v>
      </c>
      <c r="J65" s="1">
        <v>20</v>
      </c>
      <c r="K65" s="1">
        <v>20</v>
      </c>
      <c r="L65" s="1">
        <v>20</v>
      </c>
      <c r="M65" s="1">
        <v>20</v>
      </c>
      <c r="N65" s="1">
        <v>20</v>
      </c>
    </row>
    <row r="66" spans="3:14">
      <c r="D66" s="103" t="s">
        <v>346</v>
      </c>
      <c r="E66" s="14"/>
      <c r="F66" s="296">
        <f t="shared" ref="F66:N66" si="50">(F64/365) * F65</f>
        <v>1.9423534246575342</v>
      </c>
      <c r="G66" s="14">
        <f t="shared" si="50"/>
        <v>2.2488096986301369</v>
      </c>
      <c r="H66" s="14">
        <f t="shared" si="50"/>
        <v>2.4093189967123285</v>
      </c>
      <c r="I66" s="14">
        <f t="shared" si="50"/>
        <v>2.5848190793589039</v>
      </c>
      <c r="J66" s="14">
        <f t="shared" si="50"/>
        <v>2.7767824525479998</v>
      </c>
      <c r="K66" s="14">
        <f t="shared" si="50"/>
        <v>2.8894664419626341</v>
      </c>
      <c r="L66" s="14">
        <f t="shared" si="50"/>
        <v>3.0109482557420613</v>
      </c>
      <c r="M66" s="14">
        <f t="shared" si="50"/>
        <v>2.9985816101355556</v>
      </c>
      <c r="N66" s="14">
        <f t="shared" si="50"/>
        <v>3.0190060447409923</v>
      </c>
    </row>
    <row r="67" spans="3:14">
      <c r="D67" s="290" t="s">
        <v>73</v>
      </c>
      <c r="E67" s="14"/>
      <c r="F67" s="296"/>
      <c r="G67" s="14"/>
      <c r="H67" s="14"/>
      <c r="I67" s="14"/>
      <c r="J67" s="14"/>
      <c r="K67" s="14"/>
      <c r="L67" s="14"/>
      <c r="M67" s="14"/>
      <c r="N67" s="14"/>
    </row>
    <row r="68" spans="3:14">
      <c r="D68" s="107" t="s">
        <v>345</v>
      </c>
      <c r="E68" s="14"/>
      <c r="F68" s="296">
        <f>('PD Global'!C67+'PD Global'!C68+'PD Global'!C69) / 1000</f>
        <v>10.366000000000005</v>
      </c>
      <c r="G68" s="14">
        <f>('PD Global'!D67+'PD Global'!D68+'PD Global'!D69) / 1000</f>
        <v>3.3221100000000003</v>
      </c>
      <c r="H68" s="14">
        <f>('PD Global'!E67+'PD Global'!E68+'PD Global'!E69) / 1000</f>
        <v>1.0226401440000001</v>
      </c>
      <c r="I68" s="14">
        <f>('PD Global'!F67+'PD Global'!F68+'PD Global'!F69) / 1000</f>
        <v>0</v>
      </c>
      <c r="J68" s="14">
        <f>('PD Global'!G67+'PD Global'!G68+'PD Global'!G69) / 1000</f>
        <v>0</v>
      </c>
      <c r="K68" s="14">
        <f>('PD Global'!H67+'PD Global'!H68+'PD Global'!H69) / 1000</f>
        <v>0</v>
      </c>
      <c r="L68" s="14">
        <f>('PD Global'!I67+'PD Global'!I68+'PD Global'!I69) / 1000</f>
        <v>0</v>
      </c>
      <c r="M68" s="14">
        <f>('PD Global'!J67+'PD Global'!J68+'PD Global'!J69) / 1000</f>
        <v>0</v>
      </c>
      <c r="N68" s="14">
        <f>('PD Global'!K67+'PD Global'!K68+'PD Global'!K69) / 1000</f>
        <v>0</v>
      </c>
    </row>
    <row r="69" spans="3:14">
      <c r="D69" s="107" t="s">
        <v>102</v>
      </c>
      <c r="E69" s="1"/>
      <c r="F69" s="299">
        <v>75</v>
      </c>
      <c r="G69" s="1">
        <v>75</v>
      </c>
      <c r="H69" s="1">
        <v>75</v>
      </c>
      <c r="I69" s="1">
        <v>75</v>
      </c>
      <c r="J69" s="1">
        <v>75</v>
      </c>
      <c r="K69" s="1">
        <v>75</v>
      </c>
      <c r="L69" s="1">
        <v>75</v>
      </c>
      <c r="M69" s="1">
        <v>75</v>
      </c>
      <c r="N69" s="1">
        <v>75</v>
      </c>
    </row>
    <row r="70" spans="3:14">
      <c r="D70" s="103" t="s">
        <v>346</v>
      </c>
      <c r="E70" s="14"/>
      <c r="F70" s="296">
        <f t="shared" ref="F70:N70" si="51">(F68/365) * F69</f>
        <v>2.1300000000000008</v>
      </c>
      <c r="G70" s="14">
        <f t="shared" si="51"/>
        <v>0.68262534246575346</v>
      </c>
      <c r="H70" s="14">
        <f t="shared" si="51"/>
        <v>0.21013153643835619</v>
      </c>
      <c r="I70" s="14">
        <f t="shared" si="51"/>
        <v>0</v>
      </c>
      <c r="J70" s="14">
        <f t="shared" si="51"/>
        <v>0</v>
      </c>
      <c r="K70" s="14">
        <f t="shared" si="51"/>
        <v>0</v>
      </c>
      <c r="L70" s="14">
        <f t="shared" si="51"/>
        <v>0</v>
      </c>
      <c r="M70" s="14">
        <f t="shared" si="51"/>
        <v>0</v>
      </c>
      <c r="N70" s="14">
        <f t="shared" si="51"/>
        <v>0</v>
      </c>
    </row>
    <row r="71" spans="3:14">
      <c r="C71" s="100" t="s">
        <v>490</v>
      </c>
      <c r="E71" s="223"/>
      <c r="F71" s="297">
        <f t="shared" ref="F71:N71" si="52">F62+F70+F66</f>
        <v>5.9878295890410964</v>
      </c>
      <c r="G71" s="223">
        <f t="shared" si="52"/>
        <v>6.9091884657534255</v>
      </c>
      <c r="H71" s="223">
        <f t="shared" si="52"/>
        <v>8.8305661764630656</v>
      </c>
      <c r="I71" s="223">
        <f t="shared" si="52"/>
        <v>13.77553748503734</v>
      </c>
      <c r="J71" s="223">
        <f t="shared" si="52"/>
        <v>12.97391015136218</v>
      </c>
      <c r="K71" s="223">
        <f t="shared" si="52"/>
        <v>14.770146608769936</v>
      </c>
      <c r="L71" s="223">
        <f t="shared" si="52"/>
        <v>15.706343147470978</v>
      </c>
      <c r="M71" s="223">
        <f t="shared" si="52"/>
        <v>16.204523723880836</v>
      </c>
      <c r="N71" s="223">
        <f t="shared" si="52"/>
        <v>16.267305686539984</v>
      </c>
    </row>
    <row r="72" spans="3:14" ht="4.5" customHeight="1">
      <c r="E72" s="14"/>
      <c r="F72" s="296"/>
      <c r="G72" s="14"/>
      <c r="H72" s="14"/>
      <c r="I72" s="14"/>
      <c r="J72" s="14"/>
      <c r="K72" s="14"/>
      <c r="L72" s="14"/>
      <c r="M72" s="14"/>
      <c r="N72" s="14"/>
    </row>
    <row r="73" spans="3:14">
      <c r="C73" s="100" t="s">
        <v>347</v>
      </c>
      <c r="E73" s="14"/>
      <c r="F73" s="296"/>
      <c r="G73" s="14"/>
      <c r="H73" s="14"/>
      <c r="I73" s="14"/>
      <c r="J73" s="14"/>
      <c r="K73" s="14"/>
      <c r="L73" s="14"/>
      <c r="M73" s="14"/>
      <c r="N73" s="14"/>
    </row>
    <row r="74" spans="3:14">
      <c r="D74" s="8" t="s">
        <v>103</v>
      </c>
      <c r="E74" s="14"/>
      <c r="F74" s="296">
        <f>'PD Global'!C$48 / 1000</f>
        <v>70.59966383561644</v>
      </c>
      <c r="G74" s="14">
        <f>'PD Global'!D$48 / 1000</f>
        <v>91.063142739726018</v>
      </c>
      <c r="H74" s="14">
        <f>'PD Global'!E$48 / 1000</f>
        <v>144.26806051746576</v>
      </c>
      <c r="I74" s="14">
        <f>'PD Global'!F$48 / 1000</f>
        <v>325.37500428657535</v>
      </c>
      <c r="J74" s="14">
        <f>'PD Global'!G$48 / 1000</f>
        <v>549.8133385846121</v>
      </c>
      <c r="K74" s="14">
        <f>'PD Global'!H$48 / 1000</f>
        <v>607.04024426200965</v>
      </c>
      <c r="L74" s="14">
        <f>'PD Global'!I$48 / 1000</f>
        <v>649.27333248965704</v>
      </c>
      <c r="M74" s="14">
        <f>'PD Global'!J$48 / 1000</f>
        <v>667.53848905601285</v>
      </c>
      <c r="N74" s="14">
        <f>'PD Global'!K$48 / 1000</f>
        <v>674.14799587250172</v>
      </c>
    </row>
    <row r="75" spans="3:14">
      <c r="D75" s="8" t="s">
        <v>102</v>
      </c>
      <c r="E75" s="1"/>
      <c r="F75" s="299">
        <v>40</v>
      </c>
      <c r="G75" s="1">
        <v>35</v>
      </c>
      <c r="H75" s="1">
        <v>30</v>
      </c>
      <c r="I75" s="1">
        <v>30</v>
      </c>
      <c r="J75" s="1">
        <v>30</v>
      </c>
      <c r="K75" s="1">
        <v>30</v>
      </c>
      <c r="L75" s="1">
        <v>30</v>
      </c>
      <c r="M75" s="1">
        <v>30</v>
      </c>
      <c r="N75" s="1">
        <v>30</v>
      </c>
    </row>
    <row r="76" spans="3:14">
      <c r="C76" s="100" t="s">
        <v>349</v>
      </c>
      <c r="E76" s="223"/>
      <c r="F76" s="297">
        <f t="shared" ref="F76" si="53">(F74 / 365) * F75</f>
        <v>7.7369494614374181</v>
      </c>
      <c r="G76" s="223">
        <f t="shared" ref="G76" si="54">(G74 / 365) * G75</f>
        <v>8.7320821805216724</v>
      </c>
      <c r="H76" s="223">
        <f t="shared" ref="H76" si="55">(H74 / 365) * H75</f>
        <v>11.857648809654719</v>
      </c>
      <c r="I76" s="223">
        <f t="shared" ref="I76" si="56">(I74 / 365) * I75</f>
        <v>26.743151037252765</v>
      </c>
      <c r="J76" s="223">
        <f t="shared" ref="J76" si="57">(J74 / 365) * J75</f>
        <v>45.19013741791332</v>
      </c>
      <c r="K76" s="223">
        <f t="shared" ref="K76" si="58">(K74 / 365) * K75</f>
        <v>49.893718706466551</v>
      </c>
      <c r="L76" s="223">
        <f t="shared" ref="L76:N76" si="59">(L74 / 365) * L75</f>
        <v>53.364931437506058</v>
      </c>
      <c r="M76" s="223">
        <f t="shared" si="59"/>
        <v>54.866177182685988</v>
      </c>
      <c r="N76" s="223">
        <f t="shared" si="59"/>
        <v>55.409424318287812</v>
      </c>
    </row>
    <row r="77" spans="3:14" ht="4.5" customHeight="1">
      <c r="E77" s="14"/>
      <c r="F77" s="296"/>
      <c r="G77" s="14"/>
      <c r="H77" s="14"/>
      <c r="I77" s="14"/>
      <c r="J77" s="14"/>
      <c r="K77" s="14"/>
      <c r="L77" s="14"/>
      <c r="M77" s="14"/>
      <c r="N77" s="14"/>
    </row>
    <row r="78" spans="3:14">
      <c r="C78" s="100" t="s">
        <v>350</v>
      </c>
      <c r="E78" s="14"/>
      <c r="F78" s="296"/>
      <c r="G78" s="14"/>
      <c r="H78" s="14"/>
      <c r="I78" s="14"/>
      <c r="J78" s="14"/>
      <c r="K78" s="14"/>
      <c r="L78" s="14"/>
      <c r="M78" s="14"/>
      <c r="N78" s="14"/>
    </row>
    <row r="79" spans="3:14">
      <c r="D79" s="8" t="s">
        <v>350</v>
      </c>
      <c r="E79" s="14"/>
      <c r="F79" s="296">
        <f>('PD Global'!C$125 + 'PD Global'!C80 - (Overheads!D209 + Overheads!D210)) / 1000</f>
        <v>138.40501542331799</v>
      </c>
      <c r="G79" s="14">
        <f>('PD Global'!D$125 + 'PD Global'!D80 - (Overheads!E209 + Overheads!E210)) / 1000</f>
        <v>133.16916374903093</v>
      </c>
      <c r="H79" s="14">
        <f>('PD Global'!E$125 + 'PD Global'!E80 - (Overheads!F209 + Overheads!F210)) / 1000</f>
        <v>160.3350026227815</v>
      </c>
      <c r="I79" s="14">
        <f>('PD Global'!F$125 + 'PD Global'!F80 - (Overheads!G209 + Overheads!G210)) / 1000</f>
        <v>258.59436772049486</v>
      </c>
      <c r="J79" s="14">
        <f>('PD Global'!G$125 + 'PD Global'!G80 - (Overheads!H209 + Overheads!H210)) / 1000</f>
        <v>370.27747065744126</v>
      </c>
      <c r="K79" s="14">
        <f>('PD Global'!H$125 + 'PD Global'!H80 - (Overheads!I209 + Overheads!I210)) / 1000</f>
        <v>415.66988856685845</v>
      </c>
      <c r="L79" s="14">
        <f>('PD Global'!I$125 + 'PD Global'!I80 - (Overheads!J209 + Overheads!J210)) / 1000</f>
        <v>439.79764795442833</v>
      </c>
      <c r="M79" s="14">
        <f>('PD Global'!J$125 + 'PD Global'!J80 - (Overheads!K209 + Overheads!K210)) / 1000</f>
        <v>453.56376888279482</v>
      </c>
      <c r="N79" s="14">
        <f>('PD Global'!K$125 + 'PD Global'!K80 - (Overheads!L209 + Overheads!L210)) / 1000</f>
        <v>457.28545338978313</v>
      </c>
    </row>
    <row r="80" spans="3:14">
      <c r="D80" s="8" t="s">
        <v>102</v>
      </c>
      <c r="E80" s="1"/>
      <c r="F80" s="299">
        <v>45</v>
      </c>
      <c r="G80" s="1">
        <v>45</v>
      </c>
      <c r="H80" s="1">
        <v>45</v>
      </c>
      <c r="I80" s="1">
        <v>45</v>
      </c>
      <c r="J80" s="1">
        <v>45</v>
      </c>
      <c r="K80" s="1">
        <v>45</v>
      </c>
      <c r="L80" s="1">
        <v>45</v>
      </c>
      <c r="M80" s="1">
        <v>45</v>
      </c>
      <c r="N80" s="1">
        <v>45</v>
      </c>
    </row>
    <row r="81" spans="3:14" ht="14.25" thickBot="1">
      <c r="C81" s="100" t="s">
        <v>348</v>
      </c>
      <c r="E81" s="223"/>
      <c r="F81" s="300">
        <f t="shared" ref="F81" si="60">(F79 / 365) * F80</f>
        <v>17.06363203849126</v>
      </c>
      <c r="G81" s="223">
        <f t="shared" ref="G81" si="61">(G79 / 365) * G80</f>
        <v>16.418116078647646</v>
      </c>
      <c r="H81" s="223">
        <f t="shared" ref="H81" si="62">(H79 / 365) * H80</f>
        <v>19.767329090479912</v>
      </c>
      <c r="I81" s="223">
        <f t="shared" ref="I81" si="63">(I79 / 365) * I80</f>
        <v>31.881497390197996</v>
      </c>
      <c r="J81" s="223">
        <f t="shared" ref="J81" si="64">(J79 / 365) * J80</f>
        <v>45.65064706735577</v>
      </c>
      <c r="K81" s="223">
        <f t="shared" ref="K81" si="65">(K79 / 365) * K80</f>
        <v>51.246972563037346</v>
      </c>
      <c r="L81" s="223">
        <f t="shared" ref="L81:N81" si="66">(L79 / 365) * L80</f>
        <v>54.22162782999802</v>
      </c>
      <c r="M81" s="223">
        <f t="shared" si="66"/>
        <v>55.918820821166477</v>
      </c>
      <c r="N81" s="223">
        <f t="shared" si="66"/>
        <v>56.377658637096552</v>
      </c>
    </row>
    <row r="82" spans="3:14" ht="4.5" customHeight="1" thickTop="1">
      <c r="E82" s="14"/>
      <c r="F82" s="14"/>
      <c r="G82" s="14"/>
      <c r="H82" s="14"/>
      <c r="I82" s="14"/>
      <c r="J82" s="14"/>
      <c r="K82" s="14"/>
      <c r="L82" s="14"/>
      <c r="M82" s="14"/>
    </row>
    <row r="83" spans="3:14"/>
    <row r="84" spans="3:14"/>
    <row r="85" spans="3:14"/>
    <row r="86" spans="3:14"/>
    <row r="87" spans="3:14"/>
    <row r="88" spans="3:14"/>
    <row r="89" spans="3:14"/>
    <row r="90" spans="3:14"/>
    <row r="91" spans="3:14"/>
    <row r="92" spans="3:14"/>
    <row r="93" spans="3:14"/>
    <row r="94" spans="3:14"/>
    <row r="95" spans="3:14"/>
    <row r="96" spans="3:14"/>
    <row r="97"/>
    <row r="98"/>
  </sheetData>
  <pageMargins left="0.7" right="0.7" top="0.75" bottom="0.75" header="0.3" footer="0.3"/>
  <pageSetup scale="73" fitToHeight="0" orientation="landscape"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59FDB-C9FD-49E2-A318-EBAD2FA0DD7B}">
  <sheetPr>
    <tabColor theme="7" tint="0.79998168889431442"/>
    <pageSetUpPr fitToPage="1"/>
  </sheetPr>
  <dimension ref="A1:U236"/>
  <sheetViews>
    <sheetView workbookViewId="0"/>
  </sheetViews>
  <sheetFormatPr defaultColWidth="0" defaultRowHeight="13.5"/>
  <cols>
    <col min="1" max="1" width="1.5546875" style="8" customWidth="1"/>
    <col min="2" max="3" width="1.5546875" style="100" customWidth="1"/>
    <col min="4" max="4" width="25.44140625" style="8" bestFit="1" customWidth="1"/>
    <col min="5" max="15" width="10.6640625" style="8" customWidth="1"/>
    <col min="16" max="16" width="1.5546875" style="8" customWidth="1"/>
    <col min="17" max="17" width="9.44140625" style="8" customWidth="1"/>
    <col min="18" max="18" width="1.5546875" style="8" customWidth="1"/>
    <col min="19" max="16384" width="9.44140625" style="8" hidden="1"/>
  </cols>
  <sheetData>
    <row r="1" spans="1:21" ht="35.25">
      <c r="A1" s="452"/>
      <c r="B1" s="10" t="s">
        <v>86</v>
      </c>
      <c r="C1" s="10"/>
      <c r="D1" s="10"/>
      <c r="E1" s="11"/>
      <c r="F1" s="11"/>
      <c r="G1" s="11"/>
      <c r="H1" s="11"/>
      <c r="I1" s="11"/>
      <c r="J1" s="11"/>
      <c r="K1" s="11"/>
      <c r="L1" s="11"/>
      <c r="M1" s="11"/>
      <c r="N1" s="11"/>
      <c r="O1" s="11"/>
      <c r="P1" s="11"/>
      <c r="Q1" s="11"/>
      <c r="R1" s="11"/>
      <c r="S1" s="11"/>
      <c r="T1" s="11"/>
      <c r="U1" s="11"/>
    </row>
    <row r="2" spans="1:21" ht="21.75">
      <c r="A2" s="452"/>
      <c r="B2" s="123" t="s">
        <v>367</v>
      </c>
      <c r="C2" s="123"/>
      <c r="D2" s="123"/>
      <c r="E2" s="11"/>
      <c r="F2" s="11"/>
      <c r="G2" s="11"/>
      <c r="H2" s="11"/>
      <c r="I2" s="11"/>
      <c r="J2" s="11"/>
      <c r="K2" s="11"/>
      <c r="L2" s="11"/>
      <c r="M2" s="11"/>
      <c r="N2" s="11"/>
      <c r="O2" s="11"/>
      <c r="P2" s="11"/>
      <c r="Q2" s="11"/>
      <c r="R2" s="11"/>
      <c r="S2" s="11"/>
      <c r="T2" s="11"/>
      <c r="U2" s="11"/>
    </row>
    <row r="3" spans="1:21">
      <c r="B3" s="8"/>
      <c r="C3" s="8"/>
    </row>
    <row r="4" spans="1:21" s="92" customFormat="1">
      <c r="B4" s="121" t="s">
        <v>368</v>
      </c>
      <c r="C4" s="121"/>
      <c r="D4" s="121"/>
      <c r="E4" s="122"/>
      <c r="F4" s="122" t="s">
        <v>101</v>
      </c>
      <c r="G4" s="122"/>
      <c r="H4" s="122"/>
      <c r="I4" s="122"/>
      <c r="J4" s="122"/>
      <c r="K4" s="122"/>
      <c r="L4" s="122"/>
      <c r="M4" s="122"/>
      <c r="N4" s="122"/>
      <c r="O4" s="122"/>
    </row>
    <row r="5" spans="1:21" s="92" customFormat="1">
      <c r="B5" s="12" t="s">
        <v>93</v>
      </c>
      <c r="C5" s="12"/>
      <c r="D5" s="12"/>
      <c r="E5" s="13">
        <f>F5-1</f>
        <v>2021</v>
      </c>
      <c r="F5" s="13">
        <v>2022</v>
      </c>
      <c r="G5" s="13">
        <f>+F5+1</f>
        <v>2023</v>
      </c>
      <c r="H5" s="13">
        <f t="shared" ref="H5:O5" si="0">+G5+1</f>
        <v>2024</v>
      </c>
      <c r="I5" s="13">
        <f t="shared" si="0"/>
        <v>2025</v>
      </c>
      <c r="J5" s="13">
        <f t="shared" si="0"/>
        <v>2026</v>
      </c>
      <c r="K5" s="13">
        <f t="shared" si="0"/>
        <v>2027</v>
      </c>
      <c r="L5" s="13">
        <f t="shared" si="0"/>
        <v>2028</v>
      </c>
      <c r="M5" s="13">
        <f t="shared" si="0"/>
        <v>2029</v>
      </c>
      <c r="N5" s="13">
        <f t="shared" si="0"/>
        <v>2030</v>
      </c>
      <c r="O5" s="13">
        <f t="shared" si="0"/>
        <v>2031</v>
      </c>
    </row>
    <row r="6" spans="1:21" ht="4.5" customHeight="1">
      <c r="E6" s="14"/>
      <c r="F6" s="14"/>
      <c r="G6" s="14"/>
      <c r="H6" s="14"/>
      <c r="I6" s="14"/>
      <c r="J6" s="14"/>
      <c r="K6" s="14"/>
      <c r="L6" s="14"/>
      <c r="M6" s="14"/>
      <c r="N6" s="14"/>
      <c r="O6" s="14"/>
    </row>
    <row r="7" spans="1:21">
      <c r="B7" s="12" t="s">
        <v>351</v>
      </c>
      <c r="C7" s="12"/>
      <c r="D7" s="12"/>
      <c r="E7" s="222"/>
      <c r="F7" s="222"/>
      <c r="G7" s="222"/>
      <c r="H7" s="222"/>
      <c r="I7" s="222"/>
      <c r="J7" s="222"/>
      <c r="K7" s="222"/>
      <c r="L7" s="222"/>
      <c r="M7" s="222"/>
      <c r="N7" s="222"/>
      <c r="O7" s="222"/>
    </row>
    <row r="8" spans="1:21">
      <c r="C8" s="100" t="s">
        <v>97</v>
      </c>
      <c r="E8" s="14"/>
      <c r="F8" s="14"/>
      <c r="G8" s="14"/>
      <c r="H8" s="14"/>
      <c r="I8" s="14"/>
      <c r="J8" s="14"/>
      <c r="K8" s="14"/>
      <c r="L8" s="14"/>
      <c r="M8" s="14"/>
      <c r="N8" s="14"/>
      <c r="O8" s="14"/>
    </row>
    <row r="9" spans="1:21">
      <c r="C9" s="234"/>
      <c r="D9" s="231"/>
      <c r="E9" s="498"/>
      <c r="F9" s="498"/>
      <c r="G9" s="235"/>
      <c r="H9" s="235"/>
      <c r="I9" s="235"/>
      <c r="J9" s="235"/>
      <c r="K9" s="235"/>
      <c r="L9" s="235"/>
      <c r="M9" s="235"/>
      <c r="N9" s="235"/>
      <c r="O9" s="235"/>
    </row>
    <row r="10" spans="1:21">
      <c r="E10" s="499"/>
      <c r="F10" s="499"/>
      <c r="G10" s="14"/>
      <c r="H10" s="14"/>
      <c r="I10" s="14"/>
      <c r="J10" s="14"/>
      <c r="K10" s="14"/>
      <c r="L10" s="14"/>
      <c r="M10" s="14"/>
      <c r="N10" s="14"/>
      <c r="O10" s="14"/>
    </row>
    <row r="11" spans="1:21">
      <c r="C11" s="234"/>
      <c r="D11" s="231"/>
      <c r="E11" s="498"/>
      <c r="F11" s="498"/>
      <c r="G11" s="235"/>
      <c r="H11" s="235"/>
      <c r="I11" s="235"/>
      <c r="J11" s="235"/>
      <c r="K11" s="235"/>
      <c r="L11" s="235"/>
      <c r="M11" s="235"/>
      <c r="N11" s="235"/>
      <c r="O11" s="235"/>
    </row>
    <row r="12" spans="1:21">
      <c r="E12" s="499"/>
      <c r="F12" s="499"/>
      <c r="G12" s="14"/>
      <c r="H12" s="14"/>
      <c r="I12" s="14"/>
      <c r="J12" s="14"/>
      <c r="K12" s="14"/>
      <c r="L12" s="14"/>
      <c r="M12" s="14"/>
      <c r="N12" s="14"/>
      <c r="O12" s="14"/>
    </row>
    <row r="13" spans="1:21">
      <c r="C13" s="234"/>
      <c r="D13" s="231"/>
      <c r="E13" s="498"/>
      <c r="F13" s="498"/>
      <c r="G13" s="235"/>
      <c r="H13" s="235"/>
      <c r="I13" s="235"/>
      <c r="J13" s="235"/>
      <c r="K13" s="235"/>
      <c r="L13" s="235"/>
      <c r="M13" s="235"/>
      <c r="N13" s="235"/>
      <c r="O13" s="235"/>
    </row>
    <row r="14" spans="1:21">
      <c r="E14" s="499"/>
      <c r="F14" s="499"/>
      <c r="G14" s="14"/>
      <c r="H14" s="14"/>
      <c r="I14" s="14"/>
      <c r="J14" s="14"/>
      <c r="K14" s="14"/>
      <c r="L14" s="14"/>
      <c r="M14" s="14"/>
      <c r="N14" s="14"/>
      <c r="O14" s="14"/>
    </row>
    <row r="15" spans="1:21">
      <c r="C15" s="234"/>
      <c r="D15" s="231"/>
      <c r="E15" s="498"/>
      <c r="F15" s="498"/>
      <c r="G15" s="235"/>
      <c r="H15" s="235"/>
      <c r="I15" s="235"/>
      <c r="J15" s="235"/>
      <c r="K15" s="235"/>
      <c r="L15" s="235"/>
      <c r="M15" s="235"/>
      <c r="N15" s="235"/>
      <c r="O15" s="235"/>
    </row>
    <row r="16" spans="1:21">
      <c r="E16" s="499"/>
      <c r="F16" s="499"/>
      <c r="G16" s="14"/>
      <c r="H16" s="14"/>
      <c r="I16" s="14"/>
      <c r="J16" s="14"/>
      <c r="K16" s="14"/>
      <c r="L16" s="14"/>
      <c r="M16" s="14"/>
      <c r="N16" s="14"/>
      <c r="O16" s="14"/>
    </row>
    <row r="17" spans="3:17">
      <c r="C17" s="234"/>
      <c r="D17" s="231"/>
      <c r="E17" s="498"/>
      <c r="F17" s="498"/>
      <c r="G17" s="235"/>
      <c r="H17" s="235"/>
      <c r="I17" s="235"/>
      <c r="J17" s="235"/>
      <c r="K17" s="235"/>
      <c r="L17" s="235"/>
      <c r="M17" s="235"/>
      <c r="N17" s="235"/>
      <c r="O17" s="235"/>
    </row>
    <row r="18" spans="3:17">
      <c r="E18" s="499"/>
      <c r="F18" s="499"/>
      <c r="G18" s="14"/>
      <c r="H18" s="14"/>
      <c r="I18" s="14"/>
      <c r="J18" s="14"/>
      <c r="K18" s="14"/>
      <c r="L18" s="14"/>
      <c r="M18" s="14"/>
      <c r="N18" s="14"/>
      <c r="O18" s="14"/>
    </row>
    <row r="19" spans="3:17">
      <c r="C19" s="234"/>
      <c r="D19" s="231"/>
      <c r="E19" s="498"/>
      <c r="F19" s="498"/>
      <c r="G19" s="235"/>
      <c r="H19" s="235"/>
      <c r="I19" s="235"/>
      <c r="J19" s="235"/>
      <c r="K19" s="235"/>
      <c r="L19" s="235"/>
      <c r="M19" s="235"/>
      <c r="N19" s="235"/>
      <c r="O19" s="235"/>
    </row>
    <row r="20" spans="3:17">
      <c r="E20" s="499"/>
      <c r="F20" s="499"/>
      <c r="G20" s="14"/>
      <c r="H20" s="14"/>
      <c r="I20" s="14"/>
      <c r="J20" s="14"/>
      <c r="K20" s="14"/>
      <c r="L20" s="14"/>
      <c r="M20" s="14"/>
      <c r="N20" s="14"/>
      <c r="O20" s="14"/>
    </row>
    <row r="21" spans="3:17">
      <c r="C21" s="234"/>
      <c r="D21" s="231"/>
      <c r="E21" s="498"/>
      <c r="F21" s="498"/>
      <c r="G21" s="235"/>
      <c r="H21" s="235"/>
      <c r="I21" s="235"/>
      <c r="J21" s="235"/>
      <c r="K21" s="235"/>
      <c r="L21" s="235"/>
      <c r="M21" s="235"/>
      <c r="N21" s="235"/>
      <c r="O21" s="235"/>
    </row>
    <row r="22" spans="3:17">
      <c r="E22" s="499"/>
      <c r="F22" s="499"/>
      <c r="G22" s="14"/>
      <c r="H22" s="14"/>
      <c r="I22" s="14"/>
      <c r="J22" s="14"/>
      <c r="K22" s="14"/>
      <c r="L22" s="14"/>
      <c r="M22" s="14"/>
      <c r="N22" s="14"/>
      <c r="O22" s="14"/>
    </row>
    <row r="23" spans="3:17">
      <c r="C23" s="234"/>
      <c r="D23" s="231"/>
      <c r="E23" s="498"/>
      <c r="F23" s="498"/>
      <c r="G23" s="235"/>
      <c r="H23" s="235"/>
      <c r="I23" s="235"/>
      <c r="J23" s="235"/>
      <c r="K23" s="235"/>
      <c r="L23" s="235"/>
      <c r="M23" s="235"/>
      <c r="N23" s="235"/>
      <c r="O23" s="235"/>
    </row>
    <row r="24" spans="3:17">
      <c r="E24" s="499"/>
      <c r="F24" s="499"/>
      <c r="G24" s="14"/>
      <c r="H24" s="14"/>
      <c r="I24" s="14"/>
      <c r="J24" s="14"/>
      <c r="K24" s="14"/>
      <c r="L24" s="14"/>
      <c r="M24" s="14"/>
      <c r="N24" s="14"/>
      <c r="O24" s="14"/>
      <c r="Q24" s="1"/>
    </row>
    <row r="25" spans="3:17">
      <c r="C25" s="224" t="s">
        <v>373</v>
      </c>
      <c r="D25" s="11"/>
      <c r="E25" s="225">
        <f>SUM(E9:E24)</f>
        <v>0</v>
      </c>
      <c r="F25" s="225">
        <f t="shared" ref="F25:N25" si="1">SUM(F9:F24)</f>
        <v>0</v>
      </c>
      <c r="G25" s="225">
        <f t="shared" si="1"/>
        <v>0</v>
      </c>
      <c r="H25" s="225">
        <f t="shared" si="1"/>
        <v>0</v>
      </c>
      <c r="I25" s="225">
        <f t="shared" si="1"/>
        <v>0</v>
      </c>
      <c r="J25" s="225">
        <f t="shared" si="1"/>
        <v>0</v>
      </c>
      <c r="K25" s="225">
        <f t="shared" si="1"/>
        <v>0</v>
      </c>
      <c r="L25" s="225">
        <f t="shared" si="1"/>
        <v>0</v>
      </c>
      <c r="M25" s="225">
        <f t="shared" si="1"/>
        <v>0</v>
      </c>
      <c r="N25" s="225">
        <f t="shared" si="1"/>
        <v>0</v>
      </c>
      <c r="O25" s="225"/>
    </row>
    <row r="26" spans="3:17" ht="3.75" customHeight="1">
      <c r="D26" s="100"/>
      <c r="E26" s="100"/>
      <c r="F26" s="100"/>
      <c r="G26" s="100"/>
      <c r="H26" s="100"/>
      <c r="I26" s="100"/>
      <c r="J26" s="100"/>
      <c r="K26" s="100"/>
      <c r="L26" s="100"/>
      <c r="M26" s="100"/>
      <c r="N26" s="100"/>
      <c r="O26" s="100"/>
      <c r="P26" s="100"/>
      <c r="Q26" s="100"/>
    </row>
    <row r="27" spans="3:17">
      <c r="C27" s="100" t="s">
        <v>372</v>
      </c>
      <c r="E27" s="14"/>
      <c r="F27" s="14"/>
      <c r="G27" s="14"/>
      <c r="H27" s="14"/>
      <c r="I27" s="14"/>
      <c r="J27" s="14"/>
      <c r="K27" s="14"/>
      <c r="L27" s="14"/>
      <c r="M27" s="14"/>
      <c r="N27" s="14"/>
      <c r="O27" s="14"/>
    </row>
    <row r="28" spans="3:17">
      <c r="C28" s="234"/>
      <c r="D28" s="231" t="s">
        <v>565</v>
      </c>
      <c r="E28" s="498"/>
      <c r="F28" s="498"/>
      <c r="G28" s="235">
        <v>2</v>
      </c>
      <c r="H28" s="235">
        <v>1.44</v>
      </c>
      <c r="I28" s="235">
        <v>0.749</v>
      </c>
      <c r="J28" s="235">
        <v>1.5580000000000001</v>
      </c>
      <c r="K28" s="235"/>
      <c r="L28" s="235"/>
      <c r="M28" s="235"/>
      <c r="N28" s="235"/>
      <c r="O28" s="235"/>
    </row>
    <row r="29" spans="3:17">
      <c r="D29" s="8" t="s">
        <v>564</v>
      </c>
      <c r="E29" s="499"/>
      <c r="F29" s="499"/>
      <c r="G29" s="14">
        <v>2</v>
      </c>
      <c r="H29" s="14">
        <v>0.72</v>
      </c>
      <c r="I29" s="14">
        <v>0.749</v>
      </c>
      <c r="J29" s="14">
        <v>0.77900000000000003</v>
      </c>
      <c r="K29" s="14"/>
      <c r="L29" s="14"/>
      <c r="M29" s="14"/>
      <c r="N29" s="14"/>
      <c r="O29" s="14"/>
    </row>
    <row r="30" spans="3:17">
      <c r="C30" s="234"/>
      <c r="D30" s="231" t="s">
        <v>562</v>
      </c>
      <c r="E30" s="498"/>
      <c r="F30" s="498"/>
      <c r="G30" s="235">
        <v>0.5</v>
      </c>
      <c r="H30" s="235">
        <v>3</v>
      </c>
      <c r="I30" s="235">
        <v>1</v>
      </c>
      <c r="J30" s="235"/>
      <c r="K30" s="235"/>
      <c r="L30" s="235"/>
      <c r="M30" s="235"/>
      <c r="N30" s="235"/>
      <c r="O30" s="235"/>
    </row>
    <row r="31" spans="3:17">
      <c r="D31" s="8" t="s">
        <v>563</v>
      </c>
      <c r="E31" s="499"/>
      <c r="F31" s="499"/>
      <c r="G31" s="14">
        <v>5</v>
      </c>
      <c r="H31" s="14">
        <v>4</v>
      </c>
      <c r="I31" s="14">
        <v>4</v>
      </c>
      <c r="J31" s="14">
        <v>2</v>
      </c>
      <c r="K31" s="14"/>
      <c r="L31" s="14"/>
      <c r="M31" s="14"/>
      <c r="N31" s="14"/>
      <c r="O31" s="14"/>
    </row>
    <row r="32" spans="3:17">
      <c r="C32" s="234"/>
      <c r="D32" s="231" t="s">
        <v>636</v>
      </c>
      <c r="E32" s="498"/>
      <c r="F32" s="498"/>
      <c r="G32" s="235">
        <v>0.5</v>
      </c>
      <c r="H32" s="235">
        <v>7</v>
      </c>
      <c r="I32" s="235">
        <v>7</v>
      </c>
      <c r="J32" s="235">
        <v>7</v>
      </c>
      <c r="K32" s="235">
        <v>1.5</v>
      </c>
      <c r="L32" s="235">
        <v>1.5</v>
      </c>
      <c r="M32" s="235">
        <v>1.5</v>
      </c>
      <c r="N32" s="235">
        <v>1.5</v>
      </c>
      <c r="O32" s="235">
        <v>1.5</v>
      </c>
    </row>
    <row r="33" spans="3:17">
      <c r="D33" s="8" t="s">
        <v>194</v>
      </c>
      <c r="E33" s="499"/>
      <c r="F33" s="499"/>
      <c r="G33" s="14"/>
      <c r="H33" s="14"/>
      <c r="I33" s="14"/>
      <c r="J33" s="14"/>
      <c r="K33" s="14"/>
      <c r="L33" s="14"/>
      <c r="M33" s="14"/>
      <c r="N33" s="14"/>
      <c r="O33" s="14"/>
    </row>
    <row r="34" spans="3:17">
      <c r="C34" s="234"/>
      <c r="D34" s="231" t="s">
        <v>195</v>
      </c>
      <c r="E34" s="498"/>
      <c r="F34" s="498"/>
      <c r="G34" s="235">
        <v>71</v>
      </c>
      <c r="H34" s="235"/>
      <c r="I34" s="235"/>
      <c r="J34" s="235"/>
      <c r="K34" s="235"/>
      <c r="L34" s="235"/>
      <c r="M34" s="235"/>
      <c r="N34" s="235"/>
      <c r="O34" s="235"/>
    </row>
    <row r="35" spans="3:17">
      <c r="D35" s="8" t="s">
        <v>99</v>
      </c>
      <c r="E35" s="499"/>
      <c r="F35" s="499"/>
      <c r="G35" s="14"/>
      <c r="H35" s="14"/>
      <c r="I35" s="14"/>
      <c r="J35" s="14"/>
      <c r="K35" s="14"/>
      <c r="L35" s="14"/>
      <c r="M35" s="14"/>
      <c r="N35" s="14"/>
      <c r="O35" s="14"/>
    </row>
    <row r="36" spans="3:17">
      <c r="C36" s="234"/>
      <c r="D36" s="231" t="s">
        <v>6</v>
      </c>
      <c r="E36" s="498"/>
      <c r="F36" s="498"/>
      <c r="G36" s="235">
        <f>(_xlfn.XLOOKUP(G$5, 'Project Pele ROI'!$F$29:$AL$29, 'Project Pele ROI'!$F$32:$AL$32, 0)  +  _xlfn.XLOOKUP(G$5, 'Project Pele ROI'!$F$29:$AL$29, 'Project Pele ROI'!$F$36:$AL$36, 0)) / 1000</f>
        <v>69.944014150000001</v>
      </c>
      <c r="H36" s="235">
        <f>(_xlfn.XLOOKUP(H$5, 'Project Pele ROI'!$F$29:$AL$29, 'Project Pele ROI'!$F$32:$AL$32, 0)  +  _xlfn.XLOOKUP(H$5, 'Project Pele ROI'!$F$29:$AL$29, 'Project Pele ROI'!$F$36:$AL$36, 0)) / 1000</f>
        <v>104.91602122499999</v>
      </c>
      <c r="I36" s="235">
        <f>(_xlfn.XLOOKUP(I$5, 'Project Pele ROI'!$F$29:$AL$29, 'Project Pele ROI'!$F$32:$AL$32, 0)  +  _xlfn.XLOOKUP(I$5, 'Project Pele ROI'!$F$29:$AL$29, 'Project Pele ROI'!$F$36:$AL$36, 0)) / 1000</f>
        <v>174.860035375</v>
      </c>
      <c r="J36" s="235">
        <f>(_xlfn.XLOOKUP(J$5, 'Project Pele ROI'!$F$29:$AL$29, 'Project Pele ROI'!$F$32:$AL$32, 0)  +  _xlfn.XLOOKUP(J$5, 'Project Pele ROI'!$F$29:$AL$29, 'Project Pele ROI'!$F$36:$AL$36, 0)) / 1000</f>
        <v>74.197200707500002</v>
      </c>
      <c r="K36" s="235">
        <f>(_xlfn.XLOOKUP(K$5, 'Project Pele ROI'!$F$29:$AL$29, 'Project Pele ROI'!$F$32:$AL$32, 0)  +  _xlfn.XLOOKUP(K$5, 'Project Pele ROI'!$F$29:$AL$29, 'Project Pele ROI'!$F$36:$AL$36, 0)) / 1000</f>
        <v>39.547200707500004</v>
      </c>
      <c r="L36" s="235">
        <f>(_xlfn.XLOOKUP(L$5, 'Project Pele ROI'!$F$29:$AL$29, 'Project Pele ROI'!$F$32:$AL$32, 0)  +  _xlfn.XLOOKUP(L$5, 'Project Pele ROI'!$F$29:$AL$29, 'Project Pele ROI'!$F$36:$AL$36, 0)) / 1000</f>
        <v>14.6472007075</v>
      </c>
      <c r="M36" s="235">
        <f>(_xlfn.XLOOKUP(M$5, 'Project Pele ROI'!$F$29:$AL$29, 'Project Pele ROI'!$F$32:$AL$32, 0)  +  _xlfn.XLOOKUP(M$5, 'Project Pele ROI'!$F$29:$AL$29, 'Project Pele ROI'!$F$36:$AL$36, 0)) / 1000</f>
        <v>4.6472007074999988</v>
      </c>
      <c r="N36" s="235">
        <f>(_xlfn.XLOOKUP(N$5, 'Project Pele ROI'!$F$29:$AL$29, 'Project Pele ROI'!$F$32:$AL$32, 0)  +  _xlfn.XLOOKUP(N$5, 'Project Pele ROI'!$F$29:$AL$29, 'Project Pele ROI'!$F$36:$AL$36, 0)) / 1000</f>
        <v>4.6472007074999988</v>
      </c>
      <c r="O36" s="235">
        <f>(_xlfn.XLOOKUP(O$5, 'Project Pele ROI'!$F$29:$AL$29, 'Project Pele ROI'!$F$32:$AL$32, 0)  +  _xlfn.XLOOKUP(O$5, 'Project Pele ROI'!$F$29:$AL$29, 'Project Pele ROI'!$F$36:$AL$36, 0)) / 1000</f>
        <v>4.6472007074999988</v>
      </c>
    </row>
    <row r="37" spans="3:17">
      <c r="D37" s="8" t="s">
        <v>22</v>
      </c>
      <c r="E37" s="499"/>
      <c r="F37" s="499"/>
      <c r="G37" s="14">
        <f>(_xlfn.XLOOKUP(G$5, 'Project Eureka ROI'!$F$21:$AL$21, 'Project Eureka ROI'!$F$24:$AL$24, 0)  +  _xlfn.XLOOKUP(G$5, 'Project Eureka ROI'!$F$21:$AL$21, 'Project Eureka ROI'!$F$28:$AL$28, 0)) / 1000</f>
        <v>0</v>
      </c>
      <c r="H37" s="14">
        <f>(_xlfn.XLOOKUP(H$5, 'Project Eureka ROI'!$F$21:$AL$21, 'Project Eureka ROI'!$F$24:$AL$24, 0)  +  _xlfn.XLOOKUP(H$5, 'Project Eureka ROI'!$F$21:$AL$21, 'Project Eureka ROI'!$F$28:$AL$28, 0)) / 1000</f>
        <v>48.733230000000006</v>
      </c>
      <c r="I37" s="14">
        <f>(_xlfn.XLOOKUP(I$5, 'Project Eureka ROI'!$F$21:$AL$21, 'Project Eureka ROI'!$F$24:$AL$24, 0)  +  _xlfn.XLOOKUP(I$5, 'Project Eureka ROI'!$F$21:$AL$21, 'Project Eureka ROI'!$F$28:$AL$28, 0)) / 1000</f>
        <v>51.232370000000003</v>
      </c>
      <c r="J37" s="14">
        <f>(_xlfn.XLOOKUP(J$5, 'Project Eureka ROI'!$F$21:$AL$21, 'Project Eureka ROI'!$F$24:$AL$24, 0)  +  _xlfn.XLOOKUP(J$5, 'Project Eureka ROI'!$F$21:$AL$21, 'Project Eureka ROI'!$F$28:$AL$28, 0)) / 1000</f>
        <v>24.991399999999999</v>
      </c>
      <c r="K37" s="14">
        <f>(_xlfn.XLOOKUP(K$5, 'Project Eureka ROI'!$F$21:$AL$21, 'Project Eureka ROI'!$F$24:$AL$24, 0)  +  _xlfn.XLOOKUP(K$5, 'Project Eureka ROI'!$F$21:$AL$21, 'Project Eureka ROI'!$F$28:$AL$28, 0)) / 1000</f>
        <v>1.2495699999999998</v>
      </c>
      <c r="L37" s="14">
        <f>(_xlfn.XLOOKUP(L$5, 'Project Eureka ROI'!$F$21:$AL$21, 'Project Eureka ROI'!$F$24:$AL$24, 0)  +  _xlfn.XLOOKUP(L$5, 'Project Eureka ROI'!$F$21:$AL$21, 'Project Eureka ROI'!$F$28:$AL$28, 0)) / 1000</f>
        <v>1.2495699999999998</v>
      </c>
      <c r="M37" s="14">
        <f>(_xlfn.XLOOKUP(M$5, 'Project Eureka ROI'!$F$21:$AL$21, 'Project Eureka ROI'!$F$24:$AL$24, 0)  +  _xlfn.XLOOKUP(M$5, 'Project Eureka ROI'!$F$21:$AL$21, 'Project Eureka ROI'!$F$28:$AL$28, 0)) / 1000</f>
        <v>1.2495699999999998</v>
      </c>
      <c r="N37" s="14">
        <f>(_xlfn.XLOOKUP(N$5, 'Project Eureka ROI'!$F$21:$AL$21, 'Project Eureka ROI'!$F$24:$AL$24, 0)  +  _xlfn.XLOOKUP(N$5, 'Project Eureka ROI'!$F$21:$AL$21, 'Project Eureka ROI'!$F$28:$AL$28, 0)) / 1000</f>
        <v>1.2495699999999998</v>
      </c>
      <c r="O37" s="14">
        <f>(_xlfn.XLOOKUP(O$5, 'Project Eureka ROI'!$F$21:$AL$21, 'Project Eureka ROI'!$F$24:$AL$24, 0)  +  _xlfn.XLOOKUP(O$5, 'Project Eureka ROI'!$F$21:$AL$21, 'Project Eureka ROI'!$F$28:$AL$28, 0)) / 1000</f>
        <v>1.2495699999999998</v>
      </c>
    </row>
    <row r="38" spans="3:17">
      <c r="C38" s="234"/>
      <c r="D38" s="231" t="s">
        <v>199</v>
      </c>
      <c r="E38" s="498"/>
      <c r="F38" s="498"/>
      <c r="G38" s="235">
        <v>20</v>
      </c>
      <c r="H38" s="235"/>
      <c r="I38" s="235"/>
      <c r="J38" s="235"/>
      <c r="K38" s="235"/>
      <c r="L38" s="235"/>
      <c r="M38" s="235"/>
      <c r="N38" s="235"/>
      <c r="O38" s="235"/>
    </row>
    <row r="39" spans="3:17">
      <c r="D39" s="8" t="s">
        <v>631</v>
      </c>
      <c r="E39" s="499"/>
      <c r="F39" s="499"/>
      <c r="G39" s="14">
        <f>((_xlfn.XLOOKUP(G$5, 'Project Playground ROI'!$F$29:$AL$29, 'Project Playground ROI'!$F$32:$AL$32, 0)  +  _xlfn.XLOOKUP(G$5, 'Project Playground ROI'!$F$29:$AL$29, 'Project Playground ROI'!$F$36:$AL$36, 0)) / 1000)*Pct_JV</f>
        <v>0</v>
      </c>
      <c r="H39" s="14">
        <f>((_xlfn.XLOOKUP(H$5, 'Project Playground ROI'!$F$29:$AL$29, 'Project Playground ROI'!$F$32:$AL$32, 0)  +  _xlfn.XLOOKUP(H$5, 'Project Playground ROI'!$F$29:$AL$29, 'Project Playground ROI'!$F$36:$AL$36, 0)) / 1000)*Pct_JV</f>
        <v>44.716768453500002</v>
      </c>
      <c r="I39" s="14">
        <f>((_xlfn.XLOOKUP(I$5, 'Project Playground ROI'!$F$29:$AL$29, 'Project Playground ROI'!$F$32:$AL$32, 0)  +  _xlfn.XLOOKUP(I$5, 'Project Playground ROI'!$F$29:$AL$29, 'Project Playground ROI'!$F$36:$AL$36, 0)) / 1000)*Pct_JV</f>
        <v>47.009936066499996</v>
      </c>
      <c r="J39" s="14">
        <f>((_xlfn.XLOOKUP(J$5, 'Project Playground ROI'!$F$29:$AL$29, 'Project Playground ROI'!$F$32:$AL$32, 0)  +  _xlfn.XLOOKUP(J$5, 'Project Playground ROI'!$F$29:$AL$29, 'Project Playground ROI'!$F$36:$AL$36, 0)) / 1000)*Pct_JV</f>
        <v>22.931676129999996</v>
      </c>
      <c r="K39" s="14">
        <f>((_xlfn.XLOOKUP(K$5, 'Project Playground ROI'!$F$29:$AL$29, 'Project Playground ROI'!$F$32:$AL$32, 0)  +  _xlfn.XLOOKUP(K$5, 'Project Playground ROI'!$F$29:$AL$29, 'Project Playground ROI'!$F$36:$AL$36, 0)) / 1000)*Pct_JV</f>
        <v>12.509083806500001</v>
      </c>
      <c r="L39" s="14">
        <f>((_xlfn.XLOOKUP(L$5, 'Project Playground ROI'!$F$29:$AL$29, 'Project Playground ROI'!$F$32:$AL$32, 0)  +  _xlfn.XLOOKUP(L$5, 'Project Playground ROI'!$F$29:$AL$29, 'Project Playground ROI'!$F$36:$AL$36, 0)) / 1000)*Pct_JV</f>
        <v>15.146583806500001</v>
      </c>
      <c r="M39" s="14">
        <f>((_xlfn.XLOOKUP(M$5, 'Project Playground ROI'!$F$29:$AL$29, 'Project Playground ROI'!$F$32:$AL$32, 0)  +  _xlfn.XLOOKUP(M$5, 'Project Playground ROI'!$F$29:$AL$29, 'Project Playground ROI'!$F$36:$AL$36, 0)) / 1000)*Pct_JV</f>
        <v>1.3965838065</v>
      </c>
      <c r="N39" s="14">
        <f>((_xlfn.XLOOKUP(N$5, 'Project Playground ROI'!$F$29:$AL$29, 'Project Playground ROI'!$F$32:$AL$32, 0)  +  _xlfn.XLOOKUP(N$5, 'Project Playground ROI'!$F$29:$AL$29, 'Project Playground ROI'!$F$36:$AL$36, 0)) / 1000)*Pct_JV</f>
        <v>1.3965838065</v>
      </c>
      <c r="O39" s="14">
        <f>((_xlfn.XLOOKUP(O$5, 'Project Playground ROI'!$F$29:$AL$29, 'Project Playground ROI'!$F$32:$AL$32, 0)  +  _xlfn.XLOOKUP(O$5, 'Project Playground ROI'!$F$29:$AL$29, 'Project Playground ROI'!$F$36:$AL$36, 0)) / 1000)*Pct_JV</f>
        <v>1.3965838065</v>
      </c>
    </row>
    <row r="40" spans="3:17">
      <c r="C40" s="234"/>
      <c r="D40" s="231"/>
      <c r="E40" s="498"/>
      <c r="F40" s="498"/>
      <c r="G40" s="235"/>
      <c r="H40" s="235"/>
      <c r="I40" s="235"/>
      <c r="J40" s="235"/>
      <c r="K40" s="235"/>
      <c r="L40" s="235"/>
      <c r="M40" s="235"/>
      <c r="N40" s="235"/>
      <c r="O40" s="235"/>
    </row>
    <row r="41" spans="3:17">
      <c r="E41" s="499"/>
      <c r="F41" s="499"/>
      <c r="G41" s="14"/>
      <c r="H41" s="14"/>
      <c r="I41" s="14"/>
      <c r="J41" s="14"/>
      <c r="K41" s="14"/>
      <c r="L41" s="14"/>
      <c r="M41" s="14"/>
      <c r="N41" s="14"/>
      <c r="O41" s="14"/>
    </row>
    <row r="42" spans="3:17">
      <c r="C42" s="234"/>
      <c r="D42" s="231"/>
      <c r="E42" s="498"/>
      <c r="F42" s="498"/>
      <c r="G42" s="235"/>
      <c r="H42" s="235"/>
      <c r="I42" s="235"/>
      <c r="J42" s="235"/>
      <c r="K42" s="235"/>
      <c r="L42" s="235"/>
      <c r="M42" s="235"/>
      <c r="N42" s="235"/>
      <c r="O42" s="235"/>
    </row>
    <row r="43" spans="3:17">
      <c r="E43" s="499"/>
      <c r="F43" s="499"/>
      <c r="G43" s="14"/>
      <c r="H43" s="14"/>
      <c r="I43" s="14"/>
      <c r="J43" s="14"/>
      <c r="K43" s="14"/>
      <c r="L43" s="14"/>
      <c r="M43" s="14"/>
      <c r="N43" s="14"/>
      <c r="O43" s="14"/>
      <c r="Q43" s="263"/>
    </row>
    <row r="44" spans="3:17">
      <c r="C44" s="224" t="s">
        <v>352</v>
      </c>
      <c r="D44" s="11"/>
      <c r="E44" s="225">
        <f>SUM(E28:E43)</f>
        <v>0</v>
      </c>
      <c r="F44" s="225">
        <f t="shared" ref="F44:N44" si="2">SUM(F28:F43)</f>
        <v>0</v>
      </c>
      <c r="G44" s="564">
        <f t="shared" si="2"/>
        <v>170.94401414999999</v>
      </c>
      <c r="H44" s="564">
        <f t="shared" si="2"/>
        <v>214.52601967850001</v>
      </c>
      <c r="I44" s="564">
        <f t="shared" si="2"/>
        <v>286.60034144150001</v>
      </c>
      <c r="J44" s="564">
        <f t="shared" si="2"/>
        <v>133.45727683749999</v>
      </c>
      <c r="K44" s="564">
        <f t="shared" si="2"/>
        <v>54.805854514000004</v>
      </c>
      <c r="L44" s="564">
        <f t="shared" si="2"/>
        <v>32.543354514000001</v>
      </c>
      <c r="M44" s="564">
        <f t="shared" si="2"/>
        <v>8.7933545139999989</v>
      </c>
      <c r="N44" s="564">
        <f t="shared" si="2"/>
        <v>8.7933545139999989</v>
      </c>
      <c r="O44" s="564">
        <f t="shared" ref="O44" si="3">SUM(O28:O43)</f>
        <v>8.7933545139999989</v>
      </c>
    </row>
    <row r="45" spans="3:17" ht="3.75" customHeight="1">
      <c r="D45" s="100"/>
      <c r="E45" s="100"/>
      <c r="F45" s="100"/>
      <c r="G45" s="100"/>
      <c r="H45" s="100"/>
      <c r="I45" s="100"/>
      <c r="J45" s="100"/>
      <c r="K45" s="100"/>
      <c r="L45" s="100"/>
      <c r="M45" s="100"/>
      <c r="N45" s="100"/>
      <c r="O45" s="100"/>
      <c r="P45" s="100"/>
      <c r="Q45" s="100"/>
    </row>
    <row r="46" spans="3:17">
      <c r="C46" s="100" t="s">
        <v>82</v>
      </c>
      <c r="E46" s="14"/>
      <c r="F46" s="14"/>
      <c r="G46" s="14"/>
      <c r="H46" s="14"/>
      <c r="I46" s="14"/>
      <c r="J46" s="14"/>
      <c r="K46" s="14"/>
      <c r="L46" s="14"/>
      <c r="M46" s="14"/>
      <c r="N46" s="14"/>
      <c r="O46" s="14"/>
    </row>
    <row r="47" spans="3:17">
      <c r="C47" s="282" t="s">
        <v>518</v>
      </c>
      <c r="D47" s="231" t="str">
        <f>IF(ISBLANK(D28), "", D28)</f>
        <v>India Ferm Farm</v>
      </c>
      <c r="E47" s="498"/>
      <c r="F47" s="498"/>
      <c r="G47" s="235">
        <f t="shared" ref="G47:O47" si="4">IFERROR((G28/$Q47) + F47, 0)</f>
        <v>0.2</v>
      </c>
      <c r="H47" s="235">
        <f t="shared" si="4"/>
        <v>0.34399999999999997</v>
      </c>
      <c r="I47" s="235">
        <f t="shared" si="4"/>
        <v>0.41889999999999994</v>
      </c>
      <c r="J47" s="235">
        <f t="shared" si="4"/>
        <v>0.57469999999999999</v>
      </c>
      <c r="K47" s="235">
        <f t="shared" si="4"/>
        <v>0.57469999999999999</v>
      </c>
      <c r="L47" s="235">
        <f t="shared" si="4"/>
        <v>0.57469999999999999</v>
      </c>
      <c r="M47" s="235">
        <f t="shared" si="4"/>
        <v>0.57469999999999999</v>
      </c>
      <c r="N47" s="235">
        <f t="shared" si="4"/>
        <v>0.57469999999999999</v>
      </c>
      <c r="O47" s="235">
        <f t="shared" si="4"/>
        <v>0.57469999999999999</v>
      </c>
      <c r="Q47" s="232">
        <v>10</v>
      </c>
    </row>
    <row r="48" spans="3:17">
      <c r="C48" s="282" t="s">
        <v>518</v>
      </c>
      <c r="D48" s="8" t="str">
        <f t="shared" ref="D48:D61" si="5">IF(ISBLANK(D29), "", D29)</f>
        <v>SLC Ferm Farm</v>
      </c>
      <c r="E48" s="499"/>
      <c r="F48" s="499"/>
      <c r="G48" s="14">
        <f t="shared" ref="G48:O48" si="6">IFERROR((G29/$Q48) + F48, 0)</f>
        <v>0.2</v>
      </c>
      <c r="H48" s="14">
        <f t="shared" si="6"/>
        <v>0.27200000000000002</v>
      </c>
      <c r="I48" s="14">
        <f t="shared" si="6"/>
        <v>0.34689999999999999</v>
      </c>
      <c r="J48" s="14">
        <f t="shared" si="6"/>
        <v>0.42479999999999996</v>
      </c>
      <c r="K48" s="14">
        <f t="shared" si="6"/>
        <v>0.42479999999999996</v>
      </c>
      <c r="L48" s="14">
        <f t="shared" si="6"/>
        <v>0.42479999999999996</v>
      </c>
      <c r="M48" s="14">
        <f t="shared" si="6"/>
        <v>0.42479999999999996</v>
      </c>
      <c r="N48" s="14">
        <f t="shared" si="6"/>
        <v>0.42479999999999996</v>
      </c>
      <c r="O48" s="14">
        <f t="shared" si="6"/>
        <v>0.42479999999999996</v>
      </c>
      <c r="Q48" s="1">
        <v>10</v>
      </c>
    </row>
    <row r="49" spans="3:17">
      <c r="C49" s="282" t="s">
        <v>518</v>
      </c>
      <c r="D49" s="231" t="str">
        <f t="shared" si="5"/>
        <v>SLC Pilot</v>
      </c>
      <c r="E49" s="498"/>
      <c r="F49" s="498"/>
      <c r="G49" s="235">
        <f t="shared" ref="G49:O49" si="7">IFERROR((G30/$Q49) + F49, 0)</f>
        <v>0.05</v>
      </c>
      <c r="H49" s="235">
        <f t="shared" si="7"/>
        <v>0.35</v>
      </c>
      <c r="I49" s="235">
        <f t="shared" si="7"/>
        <v>0.44999999999999996</v>
      </c>
      <c r="J49" s="235">
        <f t="shared" si="7"/>
        <v>0.44999999999999996</v>
      </c>
      <c r="K49" s="235">
        <f t="shared" si="7"/>
        <v>0.44999999999999996</v>
      </c>
      <c r="L49" s="235">
        <f t="shared" si="7"/>
        <v>0.44999999999999996</v>
      </c>
      <c r="M49" s="235">
        <f t="shared" si="7"/>
        <v>0.44999999999999996</v>
      </c>
      <c r="N49" s="235">
        <f t="shared" si="7"/>
        <v>0.44999999999999996</v>
      </c>
      <c r="O49" s="235">
        <f t="shared" si="7"/>
        <v>0.44999999999999996</v>
      </c>
      <c r="Q49" s="232">
        <v>10</v>
      </c>
    </row>
    <row r="50" spans="3:17">
      <c r="C50" s="282" t="s">
        <v>518</v>
      </c>
      <c r="D50" s="8" t="str">
        <f t="shared" si="5"/>
        <v>SBL Pilot</v>
      </c>
      <c r="E50" s="499"/>
      <c r="F50" s="499"/>
      <c r="G50" s="14">
        <f t="shared" ref="G50:O50" si="8">IFERROR((G31/$Q50) + F50, 0)</f>
        <v>0.5</v>
      </c>
      <c r="H50" s="14">
        <f t="shared" si="8"/>
        <v>0.9</v>
      </c>
      <c r="I50" s="14">
        <f t="shared" si="8"/>
        <v>1.3</v>
      </c>
      <c r="J50" s="14">
        <f t="shared" si="8"/>
        <v>1.5</v>
      </c>
      <c r="K50" s="14">
        <f t="shared" si="8"/>
        <v>1.5</v>
      </c>
      <c r="L50" s="14">
        <f t="shared" si="8"/>
        <v>1.5</v>
      </c>
      <c r="M50" s="14">
        <f t="shared" si="8"/>
        <v>1.5</v>
      </c>
      <c r="N50" s="14">
        <f t="shared" si="8"/>
        <v>1.5</v>
      </c>
      <c r="O50" s="14">
        <f t="shared" si="8"/>
        <v>1.5</v>
      </c>
      <c r="Q50" s="1">
        <v>10</v>
      </c>
    </row>
    <row r="51" spans="3:17">
      <c r="C51" s="282" t="s">
        <v>518</v>
      </c>
      <c r="D51" s="231" t="str">
        <f t="shared" si="5"/>
        <v>Other R&amp;D</v>
      </c>
      <c r="E51" s="498"/>
      <c r="F51" s="498"/>
      <c r="G51" s="235">
        <f t="shared" ref="G51:O51" si="9">IFERROR((G32/$Q51) + F51, 0)</f>
        <v>0.05</v>
      </c>
      <c r="H51" s="235">
        <f t="shared" si="9"/>
        <v>0.75</v>
      </c>
      <c r="I51" s="235">
        <f t="shared" si="9"/>
        <v>1.45</v>
      </c>
      <c r="J51" s="235">
        <f t="shared" si="9"/>
        <v>2.15</v>
      </c>
      <c r="K51" s="235">
        <f t="shared" si="9"/>
        <v>2.2999999999999998</v>
      </c>
      <c r="L51" s="235">
        <f t="shared" si="9"/>
        <v>2.4499999999999997</v>
      </c>
      <c r="M51" s="235">
        <f t="shared" si="9"/>
        <v>2.5999999999999996</v>
      </c>
      <c r="N51" s="235">
        <f t="shared" si="9"/>
        <v>2.7499999999999996</v>
      </c>
      <c r="O51" s="235">
        <f t="shared" si="9"/>
        <v>2.8999999999999995</v>
      </c>
      <c r="Q51" s="232">
        <v>10</v>
      </c>
    </row>
    <row r="52" spans="3:17">
      <c r="C52" s="283" t="s">
        <v>420</v>
      </c>
      <c r="D52" s="8" t="str">
        <f t="shared" si="5"/>
        <v>Zebu 400</v>
      </c>
      <c r="E52" s="499"/>
      <c r="F52" s="499"/>
      <c r="G52" s="14">
        <f t="shared" ref="G52:O52" si="10">IFERROR((G33/$Q52) + F52, 0)</f>
        <v>0</v>
      </c>
      <c r="H52" s="14">
        <f t="shared" si="10"/>
        <v>0</v>
      </c>
      <c r="I52" s="14">
        <f t="shared" si="10"/>
        <v>0</v>
      </c>
      <c r="J52" s="14">
        <f t="shared" si="10"/>
        <v>0</v>
      </c>
      <c r="K52" s="14">
        <f t="shared" si="10"/>
        <v>0</v>
      </c>
      <c r="L52" s="14">
        <f t="shared" si="10"/>
        <v>0</v>
      </c>
      <c r="M52" s="14">
        <f t="shared" si="10"/>
        <v>0</v>
      </c>
      <c r="N52" s="14">
        <f t="shared" si="10"/>
        <v>0</v>
      </c>
      <c r="O52" s="14">
        <f t="shared" si="10"/>
        <v>0</v>
      </c>
      <c r="Q52" s="1">
        <v>15</v>
      </c>
    </row>
    <row r="53" spans="3:17">
      <c r="C53" s="282" t="s">
        <v>420</v>
      </c>
      <c r="D53" s="231" t="str">
        <f t="shared" si="5"/>
        <v>Zebu 1000</v>
      </c>
      <c r="E53" s="498"/>
      <c r="F53" s="498"/>
      <c r="G53" s="235">
        <f t="shared" ref="G53:O53" si="11">(IFERROR((G34/$Q53) + F53, 0))+8</f>
        <v>12.733333333333334</v>
      </c>
      <c r="H53" s="235">
        <f t="shared" si="11"/>
        <v>20.733333333333334</v>
      </c>
      <c r="I53" s="235">
        <f t="shared" si="11"/>
        <v>28.733333333333334</v>
      </c>
      <c r="J53" s="235">
        <f t="shared" si="11"/>
        <v>36.733333333333334</v>
      </c>
      <c r="K53" s="235">
        <f t="shared" si="11"/>
        <v>44.733333333333334</v>
      </c>
      <c r="L53" s="235">
        <f t="shared" si="11"/>
        <v>52.733333333333334</v>
      </c>
      <c r="M53" s="235">
        <f t="shared" si="11"/>
        <v>60.733333333333334</v>
      </c>
      <c r="N53" s="235">
        <f t="shared" si="11"/>
        <v>68.733333333333334</v>
      </c>
      <c r="O53" s="235">
        <f t="shared" si="11"/>
        <v>76.733333333333334</v>
      </c>
      <c r="Q53" s="232">
        <v>15</v>
      </c>
    </row>
    <row r="54" spans="3:17">
      <c r="C54" s="283" t="s">
        <v>420</v>
      </c>
      <c r="D54" s="8" t="str">
        <f t="shared" si="5"/>
        <v>Zebu 1500</v>
      </c>
      <c r="E54" s="499"/>
      <c r="F54" s="499"/>
      <c r="G54" s="14">
        <f t="shared" ref="G54:O54" si="12">IFERROR((G35/$Q54) + F54, 0)</f>
        <v>0</v>
      </c>
      <c r="H54" s="14">
        <f t="shared" si="12"/>
        <v>0</v>
      </c>
      <c r="I54" s="14">
        <f t="shared" si="12"/>
        <v>0</v>
      </c>
      <c r="J54" s="14">
        <f t="shared" si="12"/>
        <v>0</v>
      </c>
      <c r="K54" s="14">
        <f t="shared" si="12"/>
        <v>0</v>
      </c>
      <c r="L54" s="14">
        <f t="shared" si="12"/>
        <v>0</v>
      </c>
      <c r="M54" s="14">
        <f t="shared" si="12"/>
        <v>0</v>
      </c>
      <c r="N54" s="14">
        <f t="shared" si="12"/>
        <v>0</v>
      </c>
      <c r="O54" s="14">
        <f t="shared" si="12"/>
        <v>0</v>
      </c>
      <c r="Q54" s="1">
        <v>15</v>
      </c>
    </row>
    <row r="55" spans="3:17">
      <c r="C55" s="282" t="s">
        <v>420</v>
      </c>
      <c r="D55" s="231" t="str">
        <f t="shared" si="5"/>
        <v>Project Pele</v>
      </c>
      <c r="E55" s="498"/>
      <c r="F55" s="498"/>
      <c r="G55" s="235">
        <f>_xlfn.XLOOKUP(G$5, 'Project Pele ROI'!$F$29:$AL$29, 'Project Pele ROI'!$F$38:$AL$38, 0) / 1000</f>
        <v>0</v>
      </c>
      <c r="H55" s="235">
        <f>_xlfn.XLOOKUP(H$5, 'Project Pele ROI'!$F$29:$AL$29, 'Project Pele ROI'!$F$38:$AL$38, 0) / 1000</f>
        <v>0</v>
      </c>
      <c r="I55" s="235">
        <f>_xlfn.XLOOKUP(I$5, 'Project Pele ROI'!$F$29:$AL$29, 'Project Pele ROI'!$F$38:$AL$38, 0) / 1000</f>
        <v>20.648004716666666</v>
      </c>
      <c r="J55" s="235">
        <f>_xlfn.XLOOKUP(J$5, 'Project Pele ROI'!$F$29:$AL$29, 'Project Pele ROI'!$F$38:$AL$38, 0) / 1000</f>
        <v>25.594484763833329</v>
      </c>
      <c r="K55" s="235">
        <f>_xlfn.XLOOKUP(K$5, 'Project Pele ROI'!$F$29:$AL$29, 'Project Pele ROI'!$F$38:$AL$38, 0) / 1000</f>
        <v>28.230964811</v>
      </c>
      <c r="L55" s="235">
        <f>_xlfn.XLOOKUP(L$5, 'Project Pele ROI'!$F$29:$AL$29, 'Project Pele ROI'!$F$38:$AL$38, 0) / 1000</f>
        <v>29.207444858166667</v>
      </c>
      <c r="M55" s="235">
        <f>_xlfn.XLOOKUP(M$5, 'Project Pele ROI'!$F$29:$AL$29, 'Project Pele ROI'!$F$38:$AL$38, 0) / 1000</f>
        <v>29.51725823866667</v>
      </c>
      <c r="N55" s="235">
        <f>_xlfn.XLOOKUP(N$5, 'Project Pele ROI'!$F$29:$AL$29, 'Project Pele ROI'!$F$38:$AL$38, 0) / 1000</f>
        <v>29.82707161916667</v>
      </c>
      <c r="O55" s="235">
        <f>_xlfn.XLOOKUP(O$5, 'Project Pele ROI'!$F$29:$AL$29, 'Project Pele ROI'!$F$38:$AL$38, 0) / 1000</f>
        <v>30.13688499966667</v>
      </c>
      <c r="Q55" s="232">
        <v>20</v>
      </c>
    </row>
    <row r="56" spans="3:17">
      <c r="C56" s="283" t="s">
        <v>420</v>
      </c>
      <c r="D56" s="8" t="str">
        <f t="shared" si="5"/>
        <v>Project Eureka</v>
      </c>
      <c r="E56" s="499"/>
      <c r="F56" s="499"/>
      <c r="G56" s="14">
        <f>_xlfn.XLOOKUP(G$5, 'Project Eureka ROI'!$F$21:$AL$21, 'Project Eureka ROI'!$F$30:$AL$30, 0) / 1000</f>
        <v>0</v>
      </c>
      <c r="H56" s="14">
        <f>_xlfn.XLOOKUP(H$5, 'Project Eureka ROI'!$F$21:$AL$21, 'Project Eureka ROI'!$F$30:$AL$30, 0) / 1000</f>
        <v>0</v>
      </c>
      <c r="I56" s="14">
        <f>_xlfn.XLOOKUP(I$5, 'Project Eureka ROI'!$F$21:$AL$21, 'Project Eureka ROI'!$F$30:$AL$30, 0) / 1000</f>
        <v>0</v>
      </c>
      <c r="J56" s="14">
        <f>_xlfn.XLOOKUP(J$5, 'Project Eureka ROI'!$F$21:$AL$21, 'Project Eureka ROI'!$F$30:$AL$30, 0) / 1000</f>
        <v>7.28</v>
      </c>
      <c r="K56" s="14">
        <f>_xlfn.XLOOKUP(K$5, 'Project Eureka ROI'!$F$21:$AL$21, 'Project Eureka ROI'!$F$30:$AL$30, 0) / 1000</f>
        <v>7.3633046666666671</v>
      </c>
      <c r="L56" s="14">
        <f>_xlfn.XLOOKUP(L$5, 'Project Eureka ROI'!$F$21:$AL$21, 'Project Eureka ROI'!$F$30:$AL$30, 0) / 1000</f>
        <v>7.4466093333333339</v>
      </c>
      <c r="M56" s="14">
        <f>_xlfn.XLOOKUP(M$5, 'Project Eureka ROI'!$F$21:$AL$21, 'Project Eureka ROI'!$F$30:$AL$30, 0) / 1000</f>
        <v>7.5299139999999998</v>
      </c>
      <c r="N56" s="14">
        <f>_xlfn.XLOOKUP(N$5, 'Project Eureka ROI'!$F$21:$AL$21, 'Project Eureka ROI'!$F$30:$AL$30, 0) / 1000</f>
        <v>7.6132186666666666</v>
      </c>
      <c r="O56" s="14">
        <f>_xlfn.XLOOKUP(O$5, 'Project Eureka ROI'!$F$21:$AL$21, 'Project Eureka ROI'!$F$30:$AL$30, 0) / 1000</f>
        <v>7.6965233333333334</v>
      </c>
      <c r="Q56" s="1">
        <v>20</v>
      </c>
    </row>
    <row r="57" spans="3:17">
      <c r="C57" s="282" t="s">
        <v>518</v>
      </c>
      <c r="D57" s="231" t="str">
        <f t="shared" si="5"/>
        <v>Salt Lake City</v>
      </c>
      <c r="E57" s="498"/>
      <c r="F57" s="498"/>
      <c r="G57" s="235">
        <f t="shared" ref="G57:O57" si="13">IFERROR((G38/$Q57) + F57, 0)</f>
        <v>1.3333333333333333</v>
      </c>
      <c r="H57" s="235">
        <f t="shared" si="13"/>
        <v>1.3333333333333333</v>
      </c>
      <c r="I57" s="235">
        <f t="shared" si="13"/>
        <v>1.3333333333333333</v>
      </c>
      <c r="J57" s="235">
        <f t="shared" si="13"/>
        <v>1.3333333333333333</v>
      </c>
      <c r="K57" s="235">
        <f t="shared" si="13"/>
        <v>1.3333333333333333</v>
      </c>
      <c r="L57" s="235">
        <f t="shared" si="13"/>
        <v>1.3333333333333333</v>
      </c>
      <c r="M57" s="235">
        <f t="shared" si="13"/>
        <v>1.3333333333333333</v>
      </c>
      <c r="N57" s="235">
        <f t="shared" si="13"/>
        <v>1.3333333333333333</v>
      </c>
      <c r="O57" s="235">
        <f t="shared" si="13"/>
        <v>1.3333333333333333</v>
      </c>
      <c r="Q57" s="232">
        <v>15</v>
      </c>
    </row>
    <row r="58" spans="3:17">
      <c r="C58" s="283" t="s">
        <v>420</v>
      </c>
      <c r="D58" s="8" t="str">
        <f t="shared" si="5"/>
        <v>Project Playground</v>
      </c>
      <c r="E58" s="499"/>
      <c r="F58" s="499"/>
      <c r="G58" s="14">
        <f>_xlfn.XLOOKUP(G$5, 'Project Playground ROI'!$F$29:$AL$29, 'Project Playground ROI'!$F$38:$AL$38, 0) / 1000</f>
        <v>0</v>
      </c>
      <c r="H58" s="14">
        <f>_xlfn.XLOOKUP(H$5, 'Project Playground ROI'!$F$29:$AL$29, 'Project Playground ROI'!$F$38:$AL$38, 0) / 1000</f>
        <v>0</v>
      </c>
      <c r="I58" s="14">
        <f>_xlfn.XLOOKUP(I$5, 'Project Playground ROI'!$F$29:$AL$29, 'Project Playground ROI'!$F$38:$AL$38, 0) / 1000</f>
        <v>0</v>
      </c>
      <c r="J58" s="14">
        <f>_xlfn.XLOOKUP(J$5, 'Project Playground ROI'!$F$29:$AL$29, 'Project Playground ROI'!$F$38:$AL$38, 0) / 1000</f>
        <v>12.954450753333335</v>
      </c>
      <c r="K58" s="14">
        <f>_xlfn.XLOOKUP(K$5, 'Project Playground ROI'!$F$29:$AL$29, 'Project Playground ROI'!$F$38:$AL$38, 0) / 1000</f>
        <v>14.622328594200001</v>
      </c>
      <c r="L58" s="14">
        <f>_xlfn.XLOOKUP(L$5, 'Project Playground ROI'!$F$29:$AL$29, 'Project Playground ROI'!$F$38:$AL$38, 0) / 1000</f>
        <v>16.641873101733335</v>
      </c>
      <c r="M58" s="14">
        <f>_xlfn.XLOOKUP(M$5, 'Project Playground ROI'!$F$29:$AL$29, 'Project Playground ROI'!$F$38:$AL$38, 0) / 1000</f>
        <v>16.828084275933335</v>
      </c>
      <c r="N58" s="14">
        <f>_xlfn.XLOOKUP(N$5, 'Project Playground ROI'!$F$29:$AL$29, 'Project Playground ROI'!$F$38:$AL$38, 0) / 1000</f>
        <v>17.014295450133332</v>
      </c>
      <c r="O58" s="14">
        <f>_xlfn.XLOOKUP(O$5, 'Project Playground ROI'!$F$29:$AL$29, 'Project Playground ROI'!$F$38:$AL$38, 0) / 1000</f>
        <v>17.200506624333336</v>
      </c>
      <c r="Q58" s="1">
        <v>20</v>
      </c>
    </row>
    <row r="59" spans="3:17">
      <c r="C59" s="282" t="s">
        <v>420</v>
      </c>
      <c r="D59" s="231" t="s">
        <v>485</v>
      </c>
      <c r="E59" s="498"/>
      <c r="F59" s="498"/>
      <c r="G59" s="235"/>
      <c r="H59" s="235"/>
      <c r="I59" s="235"/>
      <c r="J59" s="235"/>
      <c r="K59" s="235"/>
      <c r="L59" s="235"/>
      <c r="M59" s="235"/>
      <c r="N59" s="235"/>
      <c r="O59" s="235"/>
      <c r="Q59" s="232"/>
    </row>
    <row r="60" spans="3:17">
      <c r="C60" s="283" t="s">
        <v>420</v>
      </c>
      <c r="D60" s="8" t="str">
        <f>IF(ISBLANK(D40), "", D40)</f>
        <v/>
      </c>
      <c r="E60" s="499"/>
      <c r="F60" s="499"/>
      <c r="G60" s="14"/>
      <c r="H60" s="14"/>
      <c r="I60" s="14"/>
      <c r="J60" s="14"/>
      <c r="K60" s="14"/>
      <c r="L60" s="14"/>
      <c r="M60" s="14"/>
      <c r="N60" s="14"/>
      <c r="O60" s="14"/>
      <c r="Q60" s="1"/>
    </row>
    <row r="61" spans="3:17">
      <c r="C61" s="282"/>
      <c r="D61" s="231" t="str">
        <f t="shared" si="5"/>
        <v/>
      </c>
      <c r="E61" s="498"/>
      <c r="F61" s="498"/>
      <c r="G61" s="235">
        <f t="shared" ref="G61:O61" si="14">IFERROR((G42/$Q61) + F61, 0)</f>
        <v>0</v>
      </c>
      <c r="H61" s="235">
        <f t="shared" si="14"/>
        <v>0</v>
      </c>
      <c r="I61" s="235">
        <f t="shared" si="14"/>
        <v>0</v>
      </c>
      <c r="J61" s="235">
        <f t="shared" si="14"/>
        <v>0</v>
      </c>
      <c r="K61" s="235">
        <f t="shared" si="14"/>
        <v>0</v>
      </c>
      <c r="L61" s="235">
        <f t="shared" si="14"/>
        <v>0</v>
      </c>
      <c r="M61" s="235">
        <f t="shared" si="14"/>
        <v>0</v>
      </c>
      <c r="N61" s="235">
        <f t="shared" si="14"/>
        <v>0</v>
      </c>
      <c r="O61" s="235">
        <f t="shared" si="14"/>
        <v>0</v>
      </c>
      <c r="Q61" s="232"/>
    </row>
    <row r="62" spans="3:17">
      <c r="C62" s="283" t="s">
        <v>420</v>
      </c>
      <c r="D62" s="8" t="s">
        <v>440</v>
      </c>
      <c r="E62" s="14"/>
      <c r="F62" s="14"/>
      <c r="G62" s="14"/>
      <c r="H62" s="14"/>
      <c r="I62" s="14"/>
      <c r="J62" s="14"/>
      <c r="K62" s="14"/>
      <c r="L62" s="14"/>
      <c r="M62" s="14"/>
      <c r="N62" s="14"/>
      <c r="O62" s="14"/>
      <c r="Q62" s="1"/>
    </row>
    <row r="63" spans="3:17">
      <c r="C63" s="224" t="s">
        <v>196</v>
      </c>
      <c r="D63" s="11"/>
      <c r="E63" s="225">
        <f>SUM(E47:E62)</f>
        <v>0</v>
      </c>
      <c r="F63" s="225">
        <f t="shared" ref="F63:N63" si="15">SUM(F47:F62)</f>
        <v>0</v>
      </c>
      <c r="G63" s="225">
        <f t="shared" si="15"/>
        <v>15.066666666666668</v>
      </c>
      <c r="H63" s="225">
        <f t="shared" si="15"/>
        <v>24.682666666666666</v>
      </c>
      <c r="I63" s="225">
        <f t="shared" si="15"/>
        <v>54.680471383333334</v>
      </c>
      <c r="J63" s="225">
        <f t="shared" si="15"/>
        <v>88.995102183833325</v>
      </c>
      <c r="K63" s="225">
        <f t="shared" si="15"/>
        <v>101.53276473853333</v>
      </c>
      <c r="L63" s="225">
        <f t="shared" si="15"/>
        <v>112.7620939599</v>
      </c>
      <c r="M63" s="225">
        <f t="shared" si="15"/>
        <v>121.49142318126667</v>
      </c>
      <c r="N63" s="225">
        <f t="shared" si="15"/>
        <v>130.22075240263334</v>
      </c>
      <c r="O63" s="225">
        <f t="shared" ref="O63" si="16">SUM(O47:O62)</f>
        <v>138.95008162400001</v>
      </c>
    </row>
    <row r="64" spans="3:17">
      <c r="D64" s="8" t="s">
        <v>337</v>
      </c>
      <c r="E64" s="14"/>
      <c r="F64" s="14">
        <f>SUM(F$47:F$62) + E64</f>
        <v>0</v>
      </c>
      <c r="G64" s="14">
        <f t="shared" ref="G64:O64" si="17">SUM(G$47:G$62) + F64</f>
        <v>15.066666666666668</v>
      </c>
      <c r="H64" s="14">
        <f t="shared" si="17"/>
        <v>39.749333333333333</v>
      </c>
      <c r="I64" s="14">
        <f t="shared" si="17"/>
        <v>94.429804716666666</v>
      </c>
      <c r="J64" s="14">
        <f t="shared" si="17"/>
        <v>183.42490690049999</v>
      </c>
      <c r="K64" s="14">
        <f t="shared" si="17"/>
        <v>284.95767163903332</v>
      </c>
      <c r="L64" s="14">
        <f t="shared" si="17"/>
        <v>397.71976559893335</v>
      </c>
      <c r="M64" s="14">
        <f t="shared" si="17"/>
        <v>519.21118878020002</v>
      </c>
      <c r="N64" s="14">
        <f t="shared" si="17"/>
        <v>649.43194118283338</v>
      </c>
      <c r="O64" s="14">
        <f t="shared" si="17"/>
        <v>788.38202280683345</v>
      </c>
    </row>
    <row r="65" spans="2:17" ht="4.5" customHeight="1">
      <c r="E65" s="14"/>
      <c r="F65" s="14"/>
      <c r="G65" s="14"/>
      <c r="H65" s="14"/>
      <c r="I65" s="14"/>
      <c r="J65" s="14"/>
      <c r="K65" s="14"/>
      <c r="L65" s="14"/>
      <c r="M65" s="14"/>
      <c r="N65" s="14"/>
      <c r="O65" s="14"/>
    </row>
    <row r="66" spans="2:17">
      <c r="B66" s="12" t="s">
        <v>353</v>
      </c>
      <c r="C66" s="12"/>
      <c r="D66" s="12"/>
      <c r="E66" s="222"/>
      <c r="F66" s="222"/>
      <c r="G66" s="222"/>
      <c r="H66" s="222"/>
      <c r="I66" s="222"/>
      <c r="J66" s="222"/>
      <c r="K66" s="222"/>
      <c r="L66" s="222"/>
      <c r="M66" s="222"/>
      <c r="N66" s="222"/>
      <c r="O66" s="222"/>
    </row>
    <row r="67" spans="2:17">
      <c r="C67" s="100" t="s">
        <v>362</v>
      </c>
      <c r="E67" s="14"/>
      <c r="F67" s="14"/>
      <c r="G67" s="14"/>
      <c r="H67" s="14"/>
      <c r="I67" s="14"/>
      <c r="J67" s="14"/>
      <c r="K67" s="14"/>
      <c r="L67" s="14"/>
      <c r="M67" s="14"/>
      <c r="N67" s="14"/>
      <c r="O67" s="14"/>
    </row>
    <row r="68" spans="2:17">
      <c r="C68" s="228"/>
      <c r="D68" s="229" t="s">
        <v>635</v>
      </c>
      <c r="E68" s="500"/>
      <c r="F68" s="500"/>
      <c r="G68" s="230">
        <v>500</v>
      </c>
      <c r="H68" s="230"/>
      <c r="I68" s="230"/>
      <c r="J68" s="230"/>
      <c r="K68" s="230"/>
      <c r="L68" s="230"/>
      <c r="M68" s="230"/>
      <c r="N68" s="230"/>
      <c r="O68" s="230"/>
    </row>
    <row r="69" spans="2:17">
      <c r="E69" s="499"/>
      <c r="F69" s="499"/>
      <c r="G69" s="14"/>
      <c r="H69" s="14"/>
      <c r="I69" s="14"/>
      <c r="J69" s="14"/>
      <c r="K69" s="14"/>
      <c r="L69" s="14"/>
      <c r="M69" s="14"/>
      <c r="N69" s="14"/>
      <c r="O69" s="14"/>
    </row>
    <row r="70" spans="2:17">
      <c r="C70" s="228"/>
      <c r="D70" s="229"/>
      <c r="E70" s="500"/>
      <c r="F70" s="500"/>
      <c r="G70" s="230"/>
      <c r="H70" s="230"/>
      <c r="I70" s="230"/>
      <c r="J70" s="230"/>
      <c r="K70" s="230"/>
      <c r="L70" s="230"/>
      <c r="M70" s="230"/>
      <c r="N70" s="230"/>
      <c r="O70" s="230"/>
    </row>
    <row r="71" spans="2:17">
      <c r="D71" s="8" t="s">
        <v>441</v>
      </c>
      <c r="E71" s="499"/>
      <c r="F71" s="499"/>
      <c r="G71" s="14"/>
      <c r="H71" s="14"/>
      <c r="I71" s="14"/>
      <c r="J71" s="14"/>
      <c r="K71" s="14"/>
      <c r="L71" s="14"/>
      <c r="M71" s="14"/>
      <c r="N71" s="14"/>
      <c r="O71" s="14"/>
    </row>
    <row r="72" spans="2:17">
      <c r="C72" s="228"/>
      <c r="D72" s="229" t="s">
        <v>631</v>
      </c>
      <c r="E72" s="500">
        <f>_xlfn.XLOOKUP(E$5, 'Project Playground Fin.'!$D$4:$AJ$4, 'Project Playground Fin.'!$D$17:$AJ$17, 0) / 1000000</f>
        <v>0</v>
      </c>
      <c r="F72" s="500">
        <f>_xlfn.XLOOKUP(F$5, 'Project Playground Fin.'!$D$4:$AJ$4, 'Project Playground Fin.'!$D$17:$AJ$17, 0) / 1000000</f>
        <v>0</v>
      </c>
      <c r="G72" s="230">
        <f>(_xlfn.XLOOKUP(G$5, 'Project Playground Fin.'!$D$4:$AJ$4, 'Project Playground Fin.'!$D$17:$AJ$17, 0) / 1000000)*Pct_JV</f>
        <v>0</v>
      </c>
      <c r="H72" s="230">
        <f>(_xlfn.XLOOKUP(H$5, 'Project Playground Fin.'!$D$4:$AJ$4, 'Project Playground Fin.'!$D$17:$AJ$17, 0) / 1000000)*Pct_JV</f>
        <v>44.716768453500002</v>
      </c>
      <c r="I72" s="230">
        <f>(_xlfn.XLOOKUP(I$5, 'Project Playground Fin.'!$D$4:$AJ$4, 'Project Playground Fin.'!$D$17:$AJ$17, 0) / 1000000)*Pct_JV</f>
        <v>47.009936066500003</v>
      </c>
      <c r="J72" s="230">
        <f>(_xlfn.XLOOKUP(J$5, 'Project Playground Fin.'!$D$4:$AJ$4, 'Project Playground Fin.'!$D$17:$AJ$17, 0) / 1000000)*Pct_JV</f>
        <v>22.931676129999996</v>
      </c>
      <c r="K72" s="230">
        <f>(_xlfn.XLOOKUP(K$5, 'Project Playground Fin.'!$D$4:$AJ$4, 'Project Playground Fin.'!$D$17:$AJ$17, 0) / 1000000)*Pct_JV</f>
        <v>11.25</v>
      </c>
      <c r="L72" s="230">
        <f>(_xlfn.XLOOKUP(L$5, 'Project Playground Fin.'!$D$4:$AJ$4, 'Project Playground Fin.'!$D$17:$AJ$17, 0) / 1000000)*Pct_JV</f>
        <v>13.75</v>
      </c>
      <c r="M72" s="230">
        <f>(_xlfn.XLOOKUP(M$5, 'Project Playground Fin.'!$D$4:$AJ$4, 'Project Playground Fin.'!$D$17:$AJ$17, 0) / 1000000)*Pct_JV</f>
        <v>0</v>
      </c>
      <c r="N72" s="230">
        <f>(_xlfn.XLOOKUP(N$5, 'Project Playground Fin.'!$D$4:$AJ$4, 'Project Playground Fin.'!$D$17:$AJ$17, 0) / 1000000)*Pct_JV</f>
        <v>0</v>
      </c>
      <c r="O72" s="230">
        <f>(_xlfn.XLOOKUP(O$5, 'Project Playground Fin.'!$D$4:$AJ$4, 'Project Playground Fin.'!$D$17:$AJ$17, 0) / 1000000)*Pct_JV</f>
        <v>0</v>
      </c>
    </row>
    <row r="73" spans="2:17">
      <c r="E73" s="499"/>
      <c r="F73" s="499"/>
      <c r="G73" s="14"/>
      <c r="H73" s="14"/>
      <c r="I73" s="14"/>
      <c r="J73" s="14"/>
      <c r="K73" s="14"/>
      <c r="L73" s="14"/>
      <c r="M73" s="14"/>
      <c r="N73" s="14"/>
      <c r="O73" s="14"/>
    </row>
    <row r="74" spans="2:17">
      <c r="C74" s="228"/>
      <c r="D74" s="229"/>
      <c r="E74" s="500"/>
      <c r="F74" s="500"/>
      <c r="G74" s="230"/>
      <c r="H74" s="230"/>
      <c r="I74" s="230"/>
      <c r="J74" s="230"/>
      <c r="K74" s="230"/>
      <c r="L74" s="230"/>
      <c r="M74" s="230"/>
      <c r="N74" s="230"/>
      <c r="O74" s="230"/>
    </row>
    <row r="75" spans="2:17">
      <c r="C75" s="224" t="s">
        <v>364</v>
      </c>
      <c r="D75" s="11"/>
      <c r="E75" s="225">
        <f>SUM(E68:E74)</f>
        <v>0</v>
      </c>
      <c r="F75" s="225">
        <f t="shared" ref="F75:O75" si="18">SUM(F68:F74)</f>
        <v>0</v>
      </c>
      <c r="G75" s="225">
        <f t="shared" si="18"/>
        <v>500</v>
      </c>
      <c r="H75" s="225">
        <f t="shared" si="18"/>
        <v>44.716768453500002</v>
      </c>
      <c r="I75" s="225">
        <f t="shared" si="18"/>
        <v>47.009936066500003</v>
      </c>
      <c r="J75" s="225">
        <f t="shared" si="18"/>
        <v>22.931676129999996</v>
      </c>
      <c r="K75" s="225">
        <f t="shared" si="18"/>
        <v>11.25</v>
      </c>
      <c r="L75" s="225">
        <f t="shared" si="18"/>
        <v>13.75</v>
      </c>
      <c r="M75" s="225">
        <f t="shared" si="18"/>
        <v>0</v>
      </c>
      <c r="N75" s="225">
        <f t="shared" si="18"/>
        <v>0</v>
      </c>
      <c r="O75" s="225">
        <f t="shared" si="18"/>
        <v>0</v>
      </c>
    </row>
    <row r="76" spans="2:17" ht="3.75" customHeight="1">
      <c r="B76" s="8"/>
      <c r="C76" s="8"/>
    </row>
    <row r="77" spans="2:17">
      <c r="C77" s="100" t="s">
        <v>361</v>
      </c>
      <c r="E77" s="14"/>
      <c r="F77" s="14"/>
      <c r="G77" s="14"/>
      <c r="H77" s="14"/>
      <c r="I77" s="14"/>
      <c r="J77" s="14"/>
      <c r="K77" s="14"/>
      <c r="L77" s="14"/>
      <c r="M77" s="14"/>
      <c r="N77" s="14"/>
      <c r="O77" s="14"/>
    </row>
    <row r="78" spans="2:17">
      <c r="C78" s="228"/>
      <c r="D78" s="229" t="s">
        <v>679</v>
      </c>
      <c r="E78" s="500"/>
      <c r="F78" s="500"/>
      <c r="G78" s="230">
        <v>16</v>
      </c>
      <c r="H78" s="230"/>
      <c r="I78" s="230"/>
      <c r="J78" s="230"/>
      <c r="K78" s="230"/>
      <c r="L78" s="230"/>
      <c r="M78" s="230"/>
      <c r="N78" s="230"/>
      <c r="O78" s="230"/>
      <c r="Q78" s="230">
        <f>SUM(E78:N78)</f>
        <v>16</v>
      </c>
    </row>
    <row r="79" spans="2:17">
      <c r="D79" s="8" t="s">
        <v>634</v>
      </c>
      <c r="E79" s="499"/>
      <c r="F79" s="499"/>
      <c r="G79" s="14">
        <v>55</v>
      </c>
      <c r="H79" s="14"/>
      <c r="I79" s="14"/>
      <c r="J79" s="14"/>
      <c r="K79" s="14"/>
      <c r="L79" s="14"/>
      <c r="M79" s="14"/>
      <c r="N79" s="14"/>
      <c r="O79" s="14"/>
      <c r="Q79" s="14">
        <f t="shared" ref="Q79:Q91" si="19">SUM(E79:N79)</f>
        <v>55</v>
      </c>
    </row>
    <row r="80" spans="2:17">
      <c r="C80" s="228"/>
      <c r="D80" s="229" t="s">
        <v>678</v>
      </c>
      <c r="E80" s="500"/>
      <c r="F80" s="500"/>
      <c r="G80" s="230">
        <v>20</v>
      </c>
      <c r="H80" s="230"/>
      <c r="I80" s="230"/>
      <c r="J80" s="230"/>
      <c r="K80" s="230"/>
      <c r="L80" s="230"/>
      <c r="M80" s="230"/>
      <c r="N80" s="230"/>
      <c r="O80" s="230"/>
      <c r="Q80" s="230">
        <f t="shared" si="19"/>
        <v>20</v>
      </c>
    </row>
    <row r="81" spans="2:17">
      <c r="D81" s="8" t="s">
        <v>675</v>
      </c>
      <c r="E81" s="499"/>
      <c r="F81" s="499"/>
      <c r="G81" s="14"/>
      <c r="H81" s="14">
        <v>10</v>
      </c>
      <c r="I81" s="14"/>
      <c r="J81" s="14"/>
      <c r="K81" s="14"/>
      <c r="L81" s="14"/>
      <c r="M81" s="14"/>
      <c r="N81" s="14"/>
      <c r="O81" s="14"/>
      <c r="Q81" s="14">
        <f t="shared" si="19"/>
        <v>10</v>
      </c>
    </row>
    <row r="82" spans="2:17">
      <c r="C82" s="228"/>
      <c r="D82" s="229" t="s">
        <v>676</v>
      </c>
      <c r="E82" s="500"/>
      <c r="F82" s="500"/>
      <c r="G82" s="230"/>
      <c r="H82" s="230"/>
      <c r="I82" s="230">
        <v>10</v>
      </c>
      <c r="J82" s="230"/>
      <c r="K82" s="230"/>
      <c r="L82" s="230"/>
      <c r="M82" s="230"/>
      <c r="N82" s="230"/>
      <c r="O82" s="230"/>
      <c r="Q82" s="230">
        <f t="shared" si="19"/>
        <v>10</v>
      </c>
    </row>
    <row r="83" spans="2:17">
      <c r="D83" s="8" t="s">
        <v>677</v>
      </c>
      <c r="E83" s="499"/>
      <c r="F83" s="499"/>
      <c r="G83" s="14"/>
      <c r="H83" s="14"/>
      <c r="I83" s="14"/>
      <c r="J83" s="14">
        <v>10</v>
      </c>
      <c r="K83" s="14"/>
      <c r="L83" s="14"/>
      <c r="M83" s="14"/>
      <c r="N83" s="14"/>
      <c r="O83" s="14"/>
      <c r="Q83" s="14">
        <f t="shared" si="19"/>
        <v>10</v>
      </c>
    </row>
    <row r="84" spans="2:17">
      <c r="C84" s="228"/>
      <c r="D84" s="229"/>
      <c r="E84" s="500"/>
      <c r="F84" s="500"/>
      <c r="G84" s="230"/>
      <c r="H84" s="230"/>
      <c r="I84" s="230"/>
      <c r="J84" s="230"/>
      <c r="K84" s="230"/>
      <c r="L84" s="230"/>
      <c r="M84" s="230"/>
      <c r="N84" s="230"/>
      <c r="O84" s="230"/>
      <c r="Q84" s="230">
        <f t="shared" si="19"/>
        <v>0</v>
      </c>
    </row>
    <row r="85" spans="2:17">
      <c r="E85" s="499"/>
      <c r="F85" s="499"/>
      <c r="G85" s="14"/>
      <c r="H85" s="14"/>
      <c r="I85" s="14"/>
      <c r="J85" s="14"/>
      <c r="K85" s="14"/>
      <c r="L85" s="14"/>
      <c r="M85" s="14"/>
      <c r="N85" s="14"/>
      <c r="O85" s="14"/>
      <c r="Q85" s="14">
        <f t="shared" si="19"/>
        <v>0</v>
      </c>
    </row>
    <row r="86" spans="2:17">
      <c r="C86" s="228"/>
      <c r="D86" s="229"/>
      <c r="E86" s="500"/>
      <c r="F86" s="500"/>
      <c r="G86" s="230"/>
      <c r="H86" s="230"/>
      <c r="I86" s="230"/>
      <c r="J86" s="230"/>
      <c r="K86" s="230"/>
      <c r="L86" s="230"/>
      <c r="M86" s="230"/>
      <c r="N86" s="230"/>
      <c r="O86" s="230"/>
      <c r="Q86" s="230">
        <f t="shared" si="19"/>
        <v>0</v>
      </c>
    </row>
    <row r="87" spans="2:17">
      <c r="E87" s="499"/>
      <c r="F87" s="499"/>
      <c r="G87" s="14"/>
      <c r="H87" s="14"/>
      <c r="I87" s="14"/>
      <c r="J87" s="14"/>
      <c r="K87" s="14"/>
      <c r="L87" s="14"/>
      <c r="M87" s="14"/>
      <c r="N87" s="14"/>
      <c r="O87" s="14"/>
      <c r="Q87" s="14">
        <f t="shared" si="19"/>
        <v>0</v>
      </c>
    </row>
    <row r="88" spans="2:17">
      <c r="C88" s="228"/>
      <c r="D88" s="229"/>
      <c r="E88" s="500"/>
      <c r="F88" s="500"/>
      <c r="G88" s="230"/>
      <c r="H88" s="230"/>
      <c r="I88" s="230"/>
      <c r="J88" s="230"/>
      <c r="K88" s="230"/>
      <c r="L88" s="230"/>
      <c r="M88" s="230"/>
      <c r="N88" s="230"/>
      <c r="O88" s="230"/>
      <c r="Q88" s="230">
        <f t="shared" si="19"/>
        <v>0</v>
      </c>
    </row>
    <row r="89" spans="2:17">
      <c r="D89" s="8" t="s">
        <v>670</v>
      </c>
      <c r="E89" s="499"/>
      <c r="F89" s="499"/>
      <c r="G89" s="14"/>
      <c r="H89" s="14"/>
      <c r="I89" s="14"/>
      <c r="J89" s="14">
        <v>100</v>
      </c>
      <c r="K89" s="14"/>
      <c r="L89" s="14"/>
      <c r="M89" s="14"/>
      <c r="N89" s="14"/>
      <c r="O89" s="14"/>
      <c r="Q89" s="14">
        <f t="shared" si="19"/>
        <v>100</v>
      </c>
    </row>
    <row r="90" spans="2:17">
      <c r="C90" s="228"/>
      <c r="D90" s="229"/>
      <c r="E90" s="500"/>
      <c r="F90" s="500"/>
      <c r="G90" s="230"/>
      <c r="H90" s="230"/>
      <c r="I90" s="230"/>
      <c r="J90" s="230"/>
      <c r="K90" s="230"/>
      <c r="L90" s="230"/>
      <c r="M90" s="230"/>
      <c r="N90" s="230"/>
      <c r="O90" s="230"/>
      <c r="Q90" s="230">
        <f t="shared" si="19"/>
        <v>0</v>
      </c>
    </row>
    <row r="91" spans="2:17">
      <c r="E91" s="499"/>
      <c r="F91" s="499"/>
      <c r="G91" s="14"/>
      <c r="H91" s="14"/>
      <c r="I91" s="14"/>
      <c r="J91" s="14"/>
      <c r="K91" s="14"/>
      <c r="L91" s="14"/>
      <c r="M91" s="14"/>
      <c r="N91" s="14"/>
      <c r="O91" s="14"/>
      <c r="Q91" s="14">
        <f t="shared" si="19"/>
        <v>0</v>
      </c>
    </row>
    <row r="92" spans="2:17">
      <c r="C92" s="224" t="s">
        <v>363</v>
      </c>
      <c r="D92" s="11"/>
      <c r="E92" s="225">
        <f>SUM(E78:E91)</f>
        <v>0</v>
      </c>
      <c r="F92" s="225">
        <f t="shared" ref="F92:N92" si="20">SUM(F78:F91)</f>
        <v>0</v>
      </c>
      <c r="G92" s="225">
        <f t="shared" si="20"/>
        <v>91</v>
      </c>
      <c r="H92" s="225">
        <f t="shared" si="20"/>
        <v>10</v>
      </c>
      <c r="I92" s="225">
        <f t="shared" si="20"/>
        <v>10</v>
      </c>
      <c r="J92" s="225">
        <f t="shared" si="20"/>
        <v>110</v>
      </c>
      <c r="K92" s="225">
        <f t="shared" si="20"/>
        <v>0</v>
      </c>
      <c r="L92" s="225">
        <f t="shared" si="20"/>
        <v>0</v>
      </c>
      <c r="M92" s="225">
        <f t="shared" si="20"/>
        <v>0</v>
      </c>
      <c r="N92" s="225">
        <f t="shared" si="20"/>
        <v>0</v>
      </c>
      <c r="O92" s="225">
        <f t="shared" ref="O92" si="21">SUM(O78:O91)</f>
        <v>0</v>
      </c>
    </row>
    <row r="93" spans="2:17" ht="3.75" customHeight="1">
      <c r="E93" s="14"/>
      <c r="F93" s="14"/>
      <c r="G93" s="14"/>
      <c r="H93" s="14"/>
      <c r="I93" s="14"/>
      <c r="J93" s="14"/>
      <c r="K93" s="14"/>
      <c r="L93" s="14"/>
      <c r="M93" s="14"/>
      <c r="N93" s="14"/>
      <c r="O93" s="14"/>
    </row>
    <row r="94" spans="2:17">
      <c r="B94" s="100" t="s">
        <v>238</v>
      </c>
      <c r="E94" s="14"/>
      <c r="F94" s="14"/>
      <c r="G94" s="14"/>
      <c r="H94" s="14"/>
      <c r="I94" s="14"/>
      <c r="J94" s="14"/>
      <c r="K94" s="14"/>
      <c r="L94" s="14"/>
      <c r="M94" s="14"/>
      <c r="N94" s="14"/>
      <c r="O94" s="14"/>
    </row>
    <row r="95" spans="2:17">
      <c r="C95" s="100" t="s">
        <v>360</v>
      </c>
      <c r="E95" s="14"/>
      <c r="F95" s="14"/>
      <c r="G95" s="14"/>
      <c r="H95" s="14"/>
      <c r="I95" s="14"/>
      <c r="J95" s="14"/>
      <c r="K95" s="14"/>
      <c r="L95" s="14"/>
      <c r="M95" s="14"/>
      <c r="N95" s="14"/>
      <c r="O95" s="14"/>
    </row>
    <row r="96" spans="2:17">
      <c r="D96" s="231" t="str">
        <f>IF(ISBLANK(D78), "", D78)</f>
        <v>Z1000 External</v>
      </c>
      <c r="E96" s="232">
        <v>5</v>
      </c>
      <c r="F96" s="14"/>
      <c r="G96" s="14"/>
      <c r="H96" s="14"/>
      <c r="I96" s="14"/>
      <c r="J96" s="14"/>
      <c r="K96" s="14"/>
      <c r="L96" s="14"/>
      <c r="M96" s="14"/>
      <c r="N96" s="14"/>
      <c r="O96" s="14"/>
    </row>
    <row r="97" spans="3:15">
      <c r="D97" s="8" t="str">
        <f t="shared" ref="D97:D109" si="22">IF(ISBLANK(D79), "", D79)</f>
        <v>Z1000 Olon</v>
      </c>
      <c r="E97" s="1">
        <v>5</v>
      </c>
      <c r="F97" s="14"/>
      <c r="G97" s="14"/>
      <c r="H97" s="14"/>
      <c r="I97" s="14"/>
      <c r="J97" s="14"/>
      <c r="K97" s="14"/>
      <c r="L97" s="14"/>
      <c r="M97" s="14"/>
      <c r="N97" s="14"/>
      <c r="O97" s="14"/>
    </row>
    <row r="98" spans="3:15">
      <c r="D98" s="231" t="str">
        <f t="shared" si="22"/>
        <v>SLC Financing</v>
      </c>
      <c r="E98" s="232">
        <v>5</v>
      </c>
      <c r="F98" s="14"/>
      <c r="G98" s="14"/>
      <c r="H98" s="14"/>
      <c r="I98" s="14"/>
      <c r="J98" s="14"/>
      <c r="K98" s="14"/>
      <c r="L98" s="14"/>
      <c r="M98" s="14"/>
      <c r="N98" s="14"/>
      <c r="O98" s="14"/>
    </row>
    <row r="99" spans="3:15">
      <c r="D99" s="8" t="str">
        <f t="shared" si="22"/>
        <v>Nth Bio I</v>
      </c>
      <c r="E99" s="1">
        <v>5</v>
      </c>
      <c r="F99" s="14"/>
      <c r="G99" s="14"/>
      <c r="H99" s="14"/>
      <c r="I99" s="14"/>
      <c r="J99" s="14"/>
      <c r="K99" s="14"/>
      <c r="L99" s="14"/>
      <c r="M99" s="14"/>
      <c r="N99" s="14"/>
      <c r="O99" s="14"/>
    </row>
    <row r="100" spans="3:15">
      <c r="D100" s="231" t="str">
        <f t="shared" si="22"/>
        <v>Nth Bio II</v>
      </c>
      <c r="E100" s="232">
        <v>5</v>
      </c>
      <c r="F100" s="14"/>
      <c r="G100" s="14"/>
      <c r="H100" s="14"/>
      <c r="I100" s="14"/>
      <c r="J100" s="14"/>
      <c r="K100" s="14"/>
      <c r="L100" s="14"/>
      <c r="M100" s="14"/>
      <c r="N100" s="14"/>
      <c r="O100" s="14"/>
    </row>
    <row r="101" spans="3:15">
      <c r="D101" s="8" t="str">
        <f t="shared" si="22"/>
        <v>Nth Bio III</v>
      </c>
      <c r="E101" s="1">
        <v>5</v>
      </c>
      <c r="F101" s="14"/>
      <c r="G101" s="14"/>
      <c r="H101" s="14"/>
      <c r="I101" s="14"/>
      <c r="J101" s="14"/>
      <c r="K101" s="14"/>
      <c r="L101" s="14"/>
      <c r="M101" s="14"/>
      <c r="N101" s="14"/>
      <c r="O101" s="14"/>
    </row>
    <row r="102" spans="3:15">
      <c r="D102" s="231" t="str">
        <f t="shared" si="22"/>
        <v/>
      </c>
      <c r="E102" s="232"/>
      <c r="F102" s="14"/>
      <c r="G102" s="14"/>
      <c r="H102" s="14"/>
      <c r="I102" s="14"/>
      <c r="J102" s="14"/>
      <c r="K102" s="14"/>
      <c r="L102" s="14"/>
      <c r="M102" s="14"/>
      <c r="N102" s="14"/>
      <c r="O102" s="14"/>
    </row>
    <row r="103" spans="3:15">
      <c r="D103" s="8" t="str">
        <f t="shared" si="22"/>
        <v/>
      </c>
      <c r="E103" s="1"/>
      <c r="F103" s="14"/>
      <c r="G103" s="14"/>
      <c r="H103" s="14"/>
      <c r="I103" s="14"/>
      <c r="J103" s="14"/>
      <c r="K103" s="14"/>
      <c r="L103" s="14"/>
      <c r="M103" s="14"/>
      <c r="N103" s="14"/>
      <c r="O103" s="14"/>
    </row>
    <row r="104" spans="3:15">
      <c r="D104" s="231" t="str">
        <f t="shared" si="22"/>
        <v/>
      </c>
      <c r="E104" s="232"/>
      <c r="F104" s="14"/>
      <c r="G104" s="14"/>
      <c r="H104" s="14"/>
      <c r="I104" s="14"/>
      <c r="J104" s="14"/>
      <c r="K104" s="14"/>
      <c r="L104" s="14"/>
      <c r="M104" s="14"/>
      <c r="N104" s="14"/>
      <c r="O104" s="14"/>
    </row>
    <row r="105" spans="3:15">
      <c r="D105" s="8" t="str">
        <f t="shared" si="22"/>
        <v/>
      </c>
      <c r="E105" s="1"/>
      <c r="F105" s="14"/>
      <c r="G105" s="14"/>
      <c r="H105" s="14"/>
      <c r="I105" s="14"/>
      <c r="J105" s="14"/>
      <c r="K105" s="14"/>
      <c r="L105" s="14"/>
      <c r="M105" s="14"/>
      <c r="N105" s="14"/>
      <c r="O105" s="14"/>
    </row>
    <row r="106" spans="3:15">
      <c r="D106" s="231" t="str">
        <f t="shared" si="22"/>
        <v/>
      </c>
      <c r="E106" s="232"/>
      <c r="F106" s="14"/>
      <c r="G106" s="14"/>
      <c r="H106" s="14"/>
      <c r="I106" s="14"/>
      <c r="J106" s="14"/>
      <c r="K106" s="14"/>
      <c r="L106" s="14"/>
      <c r="M106" s="14"/>
      <c r="N106" s="14"/>
      <c r="O106" s="14"/>
    </row>
    <row r="107" spans="3:15">
      <c r="D107" s="8" t="str">
        <f t="shared" si="22"/>
        <v>Refinancing I</v>
      </c>
      <c r="E107" s="1">
        <v>15</v>
      </c>
      <c r="F107" s="14"/>
      <c r="G107" s="14"/>
      <c r="H107" s="14"/>
      <c r="I107" s="14"/>
      <c r="J107" s="14"/>
      <c r="K107" s="14"/>
      <c r="L107" s="14"/>
      <c r="M107" s="14"/>
      <c r="N107" s="14"/>
      <c r="O107" s="14"/>
    </row>
    <row r="108" spans="3:15">
      <c r="D108" s="231" t="str">
        <f t="shared" si="22"/>
        <v/>
      </c>
      <c r="E108" s="232"/>
      <c r="F108" s="14"/>
      <c r="G108" s="14"/>
      <c r="H108" s="14"/>
      <c r="I108" s="14"/>
      <c r="J108" s="14"/>
      <c r="K108" s="14"/>
      <c r="L108" s="14"/>
      <c r="M108" s="14"/>
      <c r="N108" s="14"/>
      <c r="O108" s="14"/>
    </row>
    <row r="109" spans="3:15">
      <c r="D109" s="8" t="str">
        <f t="shared" si="22"/>
        <v/>
      </c>
      <c r="E109" s="1"/>
      <c r="F109" s="14"/>
      <c r="G109" s="14"/>
      <c r="H109" s="14"/>
      <c r="I109" s="14"/>
      <c r="J109" s="14"/>
      <c r="K109" s="14"/>
      <c r="L109" s="14"/>
      <c r="M109" s="14"/>
      <c r="N109" s="14"/>
      <c r="O109" s="14"/>
    </row>
    <row r="110" spans="3:15" ht="4.5" customHeight="1">
      <c r="E110" s="14"/>
      <c r="F110" s="14"/>
      <c r="G110" s="14"/>
      <c r="H110" s="14"/>
      <c r="I110" s="14"/>
      <c r="J110" s="14"/>
      <c r="K110" s="14"/>
      <c r="L110" s="14"/>
      <c r="M110" s="14"/>
      <c r="N110" s="14"/>
      <c r="O110" s="14"/>
    </row>
    <row r="111" spans="3:15">
      <c r="C111" s="100" t="s">
        <v>96</v>
      </c>
      <c r="E111" s="14"/>
      <c r="F111" s="14"/>
      <c r="G111" s="14"/>
      <c r="H111" s="14"/>
      <c r="I111" s="14"/>
      <c r="J111" s="14"/>
      <c r="K111" s="14"/>
      <c r="L111" s="14"/>
      <c r="M111" s="14"/>
      <c r="N111" s="14"/>
      <c r="O111" s="14"/>
    </row>
    <row r="112" spans="3:15">
      <c r="D112" s="231" t="str">
        <f>IF(ISBLANK(D96), "", D96)</f>
        <v>Z1000 External</v>
      </c>
      <c r="E112" s="233">
        <v>0.12</v>
      </c>
      <c r="F112" s="14"/>
      <c r="G112" s="14"/>
      <c r="H112" s="14"/>
      <c r="I112" s="14"/>
      <c r="J112" s="14"/>
      <c r="K112" s="14"/>
      <c r="L112" s="14"/>
      <c r="M112" s="14"/>
      <c r="N112" s="14"/>
      <c r="O112" s="14"/>
    </row>
    <row r="113" spans="3:15">
      <c r="D113" s="8" t="str">
        <f t="shared" ref="D113:D125" si="23">IF(ISBLANK(D97), "", D97)</f>
        <v>Z1000 Olon</v>
      </c>
      <c r="E113" s="6">
        <v>0.06</v>
      </c>
      <c r="F113" s="14"/>
      <c r="G113" s="14"/>
      <c r="H113" s="14"/>
      <c r="I113" s="14"/>
      <c r="J113" s="14"/>
      <c r="K113" s="14"/>
      <c r="L113" s="14"/>
      <c r="M113" s="14"/>
      <c r="N113" s="14"/>
      <c r="O113" s="14"/>
    </row>
    <row r="114" spans="3:15">
      <c r="D114" s="231" t="str">
        <f t="shared" si="23"/>
        <v>SLC Financing</v>
      </c>
      <c r="E114" s="233">
        <v>0.1</v>
      </c>
      <c r="F114" s="14"/>
      <c r="G114" s="14"/>
      <c r="H114" s="14"/>
      <c r="I114" s="14"/>
      <c r="J114" s="14"/>
      <c r="K114" s="14"/>
      <c r="L114" s="14"/>
      <c r="M114" s="14"/>
      <c r="N114" s="14"/>
      <c r="O114" s="14"/>
    </row>
    <row r="115" spans="3:15">
      <c r="D115" s="8" t="str">
        <f t="shared" si="23"/>
        <v>Nth Bio I</v>
      </c>
      <c r="E115" s="6">
        <v>0.1</v>
      </c>
      <c r="F115" s="14"/>
      <c r="G115" s="14"/>
      <c r="H115" s="14"/>
      <c r="I115" s="14"/>
      <c r="J115" s="14"/>
      <c r="K115" s="14"/>
      <c r="L115" s="14"/>
      <c r="M115" s="14"/>
      <c r="N115" s="14"/>
      <c r="O115" s="14"/>
    </row>
    <row r="116" spans="3:15">
      <c r="D116" s="231" t="str">
        <f t="shared" si="23"/>
        <v>Nth Bio II</v>
      </c>
      <c r="E116" s="233">
        <v>0.1</v>
      </c>
      <c r="F116" s="14"/>
      <c r="G116" s="14"/>
      <c r="H116" s="14"/>
      <c r="I116" s="14"/>
      <c r="J116" s="14"/>
      <c r="K116" s="14"/>
      <c r="L116" s="14"/>
      <c r="M116" s="14"/>
      <c r="N116" s="14"/>
      <c r="O116" s="14"/>
    </row>
    <row r="117" spans="3:15">
      <c r="D117" s="8" t="str">
        <f t="shared" si="23"/>
        <v>Nth Bio III</v>
      </c>
      <c r="E117" s="6">
        <v>0.1</v>
      </c>
      <c r="F117" s="14"/>
      <c r="G117" s="14"/>
      <c r="H117" s="14"/>
      <c r="I117" s="14"/>
      <c r="J117" s="14"/>
      <c r="K117" s="14"/>
      <c r="L117" s="14"/>
      <c r="M117" s="14"/>
      <c r="N117" s="14"/>
      <c r="O117" s="14"/>
    </row>
    <row r="118" spans="3:15">
      <c r="D118" s="231" t="str">
        <f t="shared" si="23"/>
        <v/>
      </c>
      <c r="E118" s="233"/>
      <c r="F118" s="14"/>
      <c r="G118" s="14"/>
      <c r="H118" s="14"/>
      <c r="I118" s="14"/>
      <c r="J118" s="14"/>
      <c r="K118" s="14"/>
      <c r="L118" s="14"/>
      <c r="M118" s="14"/>
      <c r="N118" s="14"/>
      <c r="O118" s="14"/>
    </row>
    <row r="119" spans="3:15">
      <c r="D119" s="8" t="str">
        <f t="shared" si="23"/>
        <v/>
      </c>
      <c r="E119" s="6"/>
      <c r="F119" s="14"/>
      <c r="G119" s="14"/>
      <c r="H119" s="14"/>
      <c r="I119" s="14"/>
      <c r="J119" s="14"/>
      <c r="K119" s="14"/>
      <c r="L119" s="14"/>
      <c r="M119" s="14"/>
      <c r="N119" s="14"/>
      <c r="O119" s="14"/>
    </row>
    <row r="120" spans="3:15">
      <c r="D120" s="231" t="str">
        <f t="shared" si="23"/>
        <v/>
      </c>
      <c r="E120" s="233"/>
      <c r="F120" s="14"/>
      <c r="G120" s="14"/>
      <c r="H120" s="14"/>
      <c r="I120" s="14"/>
      <c r="J120" s="14"/>
      <c r="K120" s="14"/>
      <c r="L120" s="14"/>
      <c r="M120" s="14"/>
      <c r="N120" s="14"/>
      <c r="O120" s="14"/>
    </row>
    <row r="121" spans="3:15">
      <c r="D121" s="8" t="str">
        <f t="shared" si="23"/>
        <v/>
      </c>
      <c r="E121" s="6"/>
      <c r="F121" s="14"/>
      <c r="G121" s="14"/>
      <c r="H121" s="14"/>
      <c r="I121" s="14"/>
      <c r="J121" s="14"/>
      <c r="K121" s="14"/>
      <c r="L121" s="14"/>
      <c r="M121" s="14"/>
      <c r="N121" s="14"/>
      <c r="O121" s="14"/>
    </row>
    <row r="122" spans="3:15">
      <c r="D122" s="231" t="str">
        <f t="shared" si="23"/>
        <v/>
      </c>
      <c r="E122" s="233"/>
      <c r="F122" s="14"/>
      <c r="G122" s="14"/>
      <c r="H122" s="14"/>
      <c r="I122" s="14"/>
      <c r="J122" s="14"/>
      <c r="K122" s="14"/>
      <c r="L122" s="14"/>
      <c r="M122" s="14"/>
      <c r="N122" s="14"/>
      <c r="O122" s="14"/>
    </row>
    <row r="123" spans="3:15">
      <c r="D123" s="8" t="str">
        <f t="shared" si="23"/>
        <v>Refinancing I</v>
      </c>
      <c r="E123" s="6">
        <v>0.08</v>
      </c>
      <c r="F123" s="14"/>
      <c r="G123" s="14"/>
      <c r="H123" s="14"/>
      <c r="I123" s="14"/>
      <c r="J123" s="14"/>
      <c r="K123" s="14"/>
      <c r="L123" s="14"/>
      <c r="M123" s="14"/>
      <c r="N123" s="14"/>
      <c r="O123" s="14"/>
    </row>
    <row r="124" spans="3:15">
      <c r="D124" s="231" t="str">
        <f t="shared" si="23"/>
        <v/>
      </c>
      <c r="E124" s="233"/>
      <c r="F124" s="14"/>
      <c r="G124" s="14"/>
      <c r="H124" s="14"/>
      <c r="I124" s="14"/>
      <c r="J124" s="14"/>
      <c r="K124" s="14"/>
      <c r="L124" s="14"/>
      <c r="M124" s="14"/>
      <c r="N124" s="14"/>
      <c r="O124" s="14"/>
    </row>
    <row r="125" spans="3:15">
      <c r="D125" s="8" t="str">
        <f t="shared" si="23"/>
        <v/>
      </c>
      <c r="E125" s="6"/>
      <c r="F125" s="14"/>
      <c r="G125" s="14"/>
      <c r="H125" s="14"/>
      <c r="I125" s="14"/>
      <c r="J125" s="14"/>
      <c r="K125" s="14"/>
      <c r="L125" s="14"/>
      <c r="M125" s="14"/>
      <c r="N125" s="14"/>
      <c r="O125" s="14"/>
    </row>
    <row r="126" spans="3:15" ht="4.5" customHeight="1">
      <c r="E126" s="14"/>
      <c r="F126" s="14"/>
      <c r="G126" s="14"/>
      <c r="H126" s="14"/>
      <c r="I126" s="14"/>
      <c r="J126" s="14"/>
      <c r="K126" s="14"/>
      <c r="L126" s="14"/>
      <c r="M126" s="14"/>
      <c r="N126" s="14"/>
      <c r="O126" s="14"/>
    </row>
    <row r="127" spans="3:15" ht="14.25" thickBot="1">
      <c r="C127" s="100" t="s">
        <v>354</v>
      </c>
      <c r="E127" s="14"/>
      <c r="F127" s="14"/>
      <c r="G127" s="14"/>
      <c r="H127" s="14"/>
      <c r="I127" s="14"/>
      <c r="J127" s="14"/>
      <c r="K127" s="14"/>
      <c r="L127" s="14"/>
      <c r="M127" s="14"/>
      <c r="N127" s="14"/>
      <c r="O127" s="14"/>
    </row>
    <row r="128" spans="3:15">
      <c r="D128" s="533" t="str">
        <f t="shared" ref="D128:D141" si="24">IF(ISBLANK(D78), "", D78)</f>
        <v>Z1000 External</v>
      </c>
      <c r="E128" s="534"/>
      <c r="F128" s="534">
        <f>IF(IF(F78 &lt;&gt; 0,  1, 0) + IF(E128 &gt;= 1, E128 + 1, 0) &lt;= $E96, IF(F78 &lt;&gt; 0,  1, 0) + IF(E128 &gt;= 1, E128 + 1, 0), 0)</f>
        <v>0</v>
      </c>
      <c r="G128" s="535">
        <f t="shared" ref="G128:O128" si="25">IF(G$5 &lt; CMO_Asset_Sale_Yr, IF(IF(G78 &lt;&gt; 0,  1, 0) + IF(F128 &gt;= 1, F128 + 1, 0) &lt;= $E96, IF(G78 &lt;&gt; 0,  1, 0) + IF(F128 &gt;= 1, F128 + 1, 0), 0), 0)</f>
        <v>1</v>
      </c>
      <c r="H128" s="535">
        <f t="shared" si="25"/>
        <v>2</v>
      </c>
      <c r="I128" s="535">
        <f t="shared" si="25"/>
        <v>3</v>
      </c>
      <c r="J128" s="535">
        <f t="shared" si="25"/>
        <v>4</v>
      </c>
      <c r="K128" s="535">
        <f t="shared" si="25"/>
        <v>0</v>
      </c>
      <c r="L128" s="535">
        <f t="shared" si="25"/>
        <v>0</v>
      </c>
      <c r="M128" s="535">
        <f t="shared" si="25"/>
        <v>0</v>
      </c>
      <c r="N128" s="535">
        <f t="shared" si="25"/>
        <v>0</v>
      </c>
      <c r="O128" s="536">
        <f t="shared" si="25"/>
        <v>0</v>
      </c>
    </row>
    <row r="129" spans="3:15" ht="14.25" thickBot="1">
      <c r="D129" s="537" t="str">
        <f t="shared" si="24"/>
        <v>Z1000 Olon</v>
      </c>
      <c r="E129" s="538"/>
      <c r="F129" s="538">
        <f t="shared" ref="F129:F141" si="26">IF(IF(F79 &lt;&gt; 0,  1, 0) + IF(E129 &gt;= 1, E129 + 1, 0) &lt;= $E97, IF(F79 &lt;&gt; 0,  1, 0) + IF(E129 &gt;= 1, E129 + 1, 0), 0)</f>
        <v>0</v>
      </c>
      <c r="G129" s="539">
        <f t="shared" ref="G129:O129" si="27">IF(G$5 &lt; CMO_Asset_Sale_Yr, IF(IF(G79 &lt;&gt; 0,  1, 0) + IF(F129 &gt;= 1, F129 + 1, 0) &lt;= $E97, IF(G79 &lt;&gt; 0,  1, 0) + IF(F129 &gt;= 1, F129 + 1, 0), 0), 0)</f>
        <v>1</v>
      </c>
      <c r="H129" s="539">
        <f t="shared" si="27"/>
        <v>2</v>
      </c>
      <c r="I129" s="539">
        <f t="shared" si="27"/>
        <v>3</v>
      </c>
      <c r="J129" s="539">
        <f t="shared" si="27"/>
        <v>4</v>
      </c>
      <c r="K129" s="539">
        <f t="shared" si="27"/>
        <v>0</v>
      </c>
      <c r="L129" s="539">
        <f t="shared" si="27"/>
        <v>0</v>
      </c>
      <c r="M129" s="539">
        <f t="shared" si="27"/>
        <v>0</v>
      </c>
      <c r="N129" s="539">
        <f t="shared" si="27"/>
        <v>0</v>
      </c>
      <c r="O129" s="540">
        <f t="shared" si="27"/>
        <v>0</v>
      </c>
    </row>
    <row r="130" spans="3:15">
      <c r="D130" s="11" t="str">
        <f t="shared" si="24"/>
        <v>SLC Financing</v>
      </c>
      <c r="E130" s="501"/>
      <c r="F130" s="501">
        <f t="shared" si="26"/>
        <v>0</v>
      </c>
      <c r="G130" s="226">
        <f t="shared" ref="G130:G141" si="28">IF(IF(G80 &lt;&gt; 0,  1, 0) + IF(F130 &gt;= 1, F130 + 1, 0) &lt;= $E98, IF(G80 &lt;&gt; 0,  1, 0) + IF(F130 &gt;= 1, F130 + 1, 0), 0)</f>
        <v>1</v>
      </c>
      <c r="H130" s="226">
        <f t="shared" ref="H130:H141" si="29">IF(IF(H80 &lt;&gt; 0,  1, 0) + IF(G130 &gt;= 1, G130 + 1, 0) &lt;= $E98, IF(H80 &lt;&gt; 0,  1, 0) + IF(G130 &gt;= 1, G130 + 1, 0), 0)</f>
        <v>2</v>
      </c>
      <c r="I130" s="226">
        <f t="shared" ref="I130:I141" si="30">IF(IF(I80 &lt;&gt; 0,  1, 0) + IF(H130 &gt;= 1, H130 + 1, 0) &lt;= $E98, IF(I80 &lt;&gt; 0,  1, 0) + IF(H130 &gt;= 1, H130 + 1, 0), 0)</f>
        <v>3</v>
      </c>
      <c r="J130" s="226">
        <f t="shared" ref="J130:J141" si="31">IF(IF(J80 &lt;&gt; 0,  1, 0) + IF(I130 &gt;= 1, I130 + 1, 0) &lt;= $E98, IF(J80 &lt;&gt; 0,  1, 0) + IF(I130 &gt;= 1, I130 + 1, 0), 0)</f>
        <v>4</v>
      </c>
      <c r="K130" s="226">
        <f t="shared" ref="K130:K141" si="32">IF(IF(K80 &lt;&gt; 0,  1, 0) + IF(J130 &gt;= 1, J130 + 1, 0) &lt;= $E98, IF(K80 &lt;&gt; 0,  1, 0) + IF(J130 &gt;= 1, J130 + 1, 0), 0)</f>
        <v>5</v>
      </c>
      <c r="L130" s="226">
        <f t="shared" ref="L130:L141" si="33">IF(IF(L80 &lt;&gt; 0,  1, 0) + IF(K130 &gt;= 1, K130 + 1, 0) &lt;= $E98, IF(L80 &lt;&gt; 0,  1, 0) + IF(K130 &gt;= 1, K130 + 1, 0), 0)</f>
        <v>0</v>
      </c>
      <c r="M130" s="226">
        <f t="shared" ref="M130:M141" si="34">IF(IF(M80 &lt;&gt; 0,  1, 0) + IF(L130 &gt;= 1, L130 + 1, 0) &lt;= $E98, IF(M80 &lt;&gt; 0,  1, 0) + IF(L130 &gt;= 1, L130 + 1, 0), 0)</f>
        <v>0</v>
      </c>
      <c r="N130" s="226">
        <f t="shared" ref="N130:O141" si="35">IF(IF(N80 &lt;&gt; 0,  1, 0) + IF(M130 &gt;= 1, M130 + 1, 0) &lt;= $E98, IF(N80 &lt;&gt; 0,  1, 0) + IF(M130 &gt;= 1, M130 + 1, 0), 0)</f>
        <v>0</v>
      </c>
      <c r="O130" s="226">
        <f t="shared" si="35"/>
        <v>0</v>
      </c>
    </row>
    <row r="131" spans="3:15">
      <c r="D131" s="8" t="str">
        <f t="shared" si="24"/>
        <v>Nth Bio I</v>
      </c>
      <c r="E131" s="502"/>
      <c r="F131" s="502">
        <f t="shared" si="26"/>
        <v>0</v>
      </c>
      <c r="G131" s="1">
        <f t="shared" si="28"/>
        <v>0</v>
      </c>
      <c r="H131" s="1">
        <f t="shared" si="29"/>
        <v>1</v>
      </c>
      <c r="I131" s="1">
        <f t="shared" si="30"/>
        <v>2</v>
      </c>
      <c r="J131" s="1">
        <f t="shared" si="31"/>
        <v>3</v>
      </c>
      <c r="K131" s="1">
        <f t="shared" si="32"/>
        <v>4</v>
      </c>
      <c r="L131" s="1">
        <f t="shared" si="33"/>
        <v>5</v>
      </c>
      <c r="M131" s="1">
        <f t="shared" si="34"/>
        <v>0</v>
      </c>
      <c r="N131" s="1">
        <f t="shared" si="35"/>
        <v>0</v>
      </c>
      <c r="O131" s="1">
        <f t="shared" si="35"/>
        <v>0</v>
      </c>
    </row>
    <row r="132" spans="3:15">
      <c r="D132" s="11" t="str">
        <f t="shared" si="24"/>
        <v>Nth Bio II</v>
      </c>
      <c r="E132" s="501"/>
      <c r="F132" s="501">
        <f t="shared" si="26"/>
        <v>0</v>
      </c>
      <c r="G132" s="226">
        <f t="shared" si="28"/>
        <v>0</v>
      </c>
      <c r="H132" s="226">
        <f t="shared" si="29"/>
        <v>0</v>
      </c>
      <c r="I132" s="226">
        <f t="shared" si="30"/>
        <v>1</v>
      </c>
      <c r="J132" s="226">
        <f t="shared" si="31"/>
        <v>2</v>
      </c>
      <c r="K132" s="226">
        <f t="shared" si="32"/>
        <v>3</v>
      </c>
      <c r="L132" s="226">
        <f t="shared" si="33"/>
        <v>4</v>
      </c>
      <c r="M132" s="226">
        <f t="shared" si="34"/>
        <v>5</v>
      </c>
      <c r="N132" s="226">
        <f t="shared" si="35"/>
        <v>0</v>
      </c>
      <c r="O132" s="226">
        <f t="shared" si="35"/>
        <v>0</v>
      </c>
    </row>
    <row r="133" spans="3:15">
      <c r="D133" s="8" t="str">
        <f t="shared" si="24"/>
        <v>Nth Bio III</v>
      </c>
      <c r="E133" s="502"/>
      <c r="F133" s="502">
        <f t="shared" si="26"/>
        <v>0</v>
      </c>
      <c r="G133" s="1">
        <f t="shared" si="28"/>
        <v>0</v>
      </c>
      <c r="H133" s="1">
        <f t="shared" si="29"/>
        <v>0</v>
      </c>
      <c r="I133" s="1">
        <f t="shared" si="30"/>
        <v>0</v>
      </c>
      <c r="J133" s="1">
        <f t="shared" si="31"/>
        <v>1</v>
      </c>
      <c r="K133" s="1">
        <f t="shared" si="32"/>
        <v>2</v>
      </c>
      <c r="L133" s="1">
        <f t="shared" si="33"/>
        <v>3</v>
      </c>
      <c r="M133" s="1">
        <f t="shared" si="34"/>
        <v>4</v>
      </c>
      <c r="N133" s="1">
        <f t="shared" si="35"/>
        <v>5</v>
      </c>
      <c r="O133" s="1">
        <f t="shared" si="35"/>
        <v>0</v>
      </c>
    </row>
    <row r="134" spans="3:15">
      <c r="D134" s="11" t="str">
        <f t="shared" si="24"/>
        <v/>
      </c>
      <c r="E134" s="501"/>
      <c r="F134" s="501">
        <f t="shared" si="26"/>
        <v>0</v>
      </c>
      <c r="G134" s="226">
        <f t="shared" si="28"/>
        <v>0</v>
      </c>
      <c r="H134" s="226">
        <f t="shared" si="29"/>
        <v>0</v>
      </c>
      <c r="I134" s="226">
        <f t="shared" si="30"/>
        <v>0</v>
      </c>
      <c r="J134" s="226">
        <f t="shared" si="31"/>
        <v>0</v>
      </c>
      <c r="K134" s="226">
        <f t="shared" si="32"/>
        <v>0</v>
      </c>
      <c r="L134" s="226">
        <f t="shared" si="33"/>
        <v>0</v>
      </c>
      <c r="M134" s="226">
        <f t="shared" si="34"/>
        <v>0</v>
      </c>
      <c r="N134" s="226">
        <f t="shared" si="35"/>
        <v>0</v>
      </c>
      <c r="O134" s="226">
        <f t="shared" si="35"/>
        <v>0</v>
      </c>
    </row>
    <row r="135" spans="3:15">
      <c r="D135" s="8" t="str">
        <f t="shared" si="24"/>
        <v/>
      </c>
      <c r="E135" s="502"/>
      <c r="F135" s="502">
        <f t="shared" si="26"/>
        <v>0</v>
      </c>
      <c r="G135" s="1">
        <f t="shared" si="28"/>
        <v>0</v>
      </c>
      <c r="H135" s="1">
        <f t="shared" si="29"/>
        <v>0</v>
      </c>
      <c r="I135" s="1">
        <f t="shared" si="30"/>
        <v>0</v>
      </c>
      <c r="J135" s="1">
        <f t="shared" si="31"/>
        <v>0</v>
      </c>
      <c r="K135" s="1">
        <f t="shared" si="32"/>
        <v>0</v>
      </c>
      <c r="L135" s="1">
        <f t="shared" si="33"/>
        <v>0</v>
      </c>
      <c r="M135" s="1">
        <f t="shared" si="34"/>
        <v>0</v>
      </c>
      <c r="N135" s="1">
        <f t="shared" si="35"/>
        <v>0</v>
      </c>
      <c r="O135" s="1">
        <f t="shared" si="35"/>
        <v>0</v>
      </c>
    </row>
    <row r="136" spans="3:15">
      <c r="D136" s="11" t="str">
        <f t="shared" si="24"/>
        <v/>
      </c>
      <c r="E136" s="501"/>
      <c r="F136" s="501">
        <f t="shared" si="26"/>
        <v>0</v>
      </c>
      <c r="G136" s="226">
        <f t="shared" si="28"/>
        <v>0</v>
      </c>
      <c r="H136" s="226">
        <f t="shared" si="29"/>
        <v>0</v>
      </c>
      <c r="I136" s="226">
        <f t="shared" si="30"/>
        <v>0</v>
      </c>
      <c r="J136" s="226">
        <f t="shared" si="31"/>
        <v>0</v>
      </c>
      <c r="K136" s="226">
        <f t="shared" si="32"/>
        <v>0</v>
      </c>
      <c r="L136" s="226">
        <f t="shared" si="33"/>
        <v>0</v>
      </c>
      <c r="M136" s="226">
        <f t="shared" si="34"/>
        <v>0</v>
      </c>
      <c r="N136" s="226">
        <f t="shared" si="35"/>
        <v>0</v>
      </c>
      <c r="O136" s="226">
        <f t="shared" si="35"/>
        <v>0</v>
      </c>
    </row>
    <row r="137" spans="3:15">
      <c r="D137" s="8" t="str">
        <f t="shared" si="24"/>
        <v/>
      </c>
      <c r="E137" s="502"/>
      <c r="F137" s="502">
        <f t="shared" si="26"/>
        <v>0</v>
      </c>
      <c r="G137" s="1">
        <f t="shared" si="28"/>
        <v>0</v>
      </c>
      <c r="H137" s="1">
        <f t="shared" si="29"/>
        <v>0</v>
      </c>
      <c r="I137" s="1">
        <f t="shared" si="30"/>
        <v>0</v>
      </c>
      <c r="J137" s="1">
        <f t="shared" si="31"/>
        <v>0</v>
      </c>
      <c r="K137" s="1">
        <f t="shared" si="32"/>
        <v>0</v>
      </c>
      <c r="L137" s="1">
        <f t="shared" si="33"/>
        <v>0</v>
      </c>
      <c r="M137" s="1">
        <f t="shared" si="34"/>
        <v>0</v>
      </c>
      <c r="N137" s="1">
        <f t="shared" si="35"/>
        <v>0</v>
      </c>
      <c r="O137" s="1">
        <f t="shared" si="35"/>
        <v>0</v>
      </c>
    </row>
    <row r="138" spans="3:15">
      <c r="D138" s="11" t="str">
        <f t="shared" si="24"/>
        <v/>
      </c>
      <c r="E138" s="501"/>
      <c r="F138" s="501">
        <f t="shared" si="26"/>
        <v>0</v>
      </c>
      <c r="G138" s="226">
        <f t="shared" si="28"/>
        <v>0</v>
      </c>
      <c r="H138" s="226">
        <f t="shared" si="29"/>
        <v>0</v>
      </c>
      <c r="I138" s="226">
        <f t="shared" si="30"/>
        <v>0</v>
      </c>
      <c r="J138" s="226">
        <f t="shared" si="31"/>
        <v>0</v>
      </c>
      <c r="K138" s="226">
        <f t="shared" si="32"/>
        <v>0</v>
      </c>
      <c r="L138" s="226">
        <f t="shared" si="33"/>
        <v>0</v>
      </c>
      <c r="M138" s="226">
        <f t="shared" si="34"/>
        <v>0</v>
      </c>
      <c r="N138" s="226">
        <f t="shared" si="35"/>
        <v>0</v>
      </c>
      <c r="O138" s="226">
        <f t="shared" si="35"/>
        <v>0</v>
      </c>
    </row>
    <row r="139" spans="3:15">
      <c r="D139" s="8" t="str">
        <f t="shared" si="24"/>
        <v>Refinancing I</v>
      </c>
      <c r="E139" s="502"/>
      <c r="F139" s="502">
        <f t="shared" si="26"/>
        <v>0</v>
      </c>
      <c r="G139" s="1">
        <f t="shared" si="28"/>
        <v>0</v>
      </c>
      <c r="H139" s="1">
        <f t="shared" si="29"/>
        <v>0</v>
      </c>
      <c r="I139" s="1">
        <f t="shared" si="30"/>
        <v>0</v>
      </c>
      <c r="J139" s="1">
        <f t="shared" si="31"/>
        <v>1</v>
      </c>
      <c r="K139" s="1">
        <f t="shared" si="32"/>
        <v>2</v>
      </c>
      <c r="L139" s="1">
        <f t="shared" si="33"/>
        <v>3</v>
      </c>
      <c r="M139" s="1">
        <f t="shared" si="34"/>
        <v>4</v>
      </c>
      <c r="N139" s="1">
        <f t="shared" si="35"/>
        <v>5</v>
      </c>
      <c r="O139" s="1">
        <f t="shared" si="35"/>
        <v>6</v>
      </c>
    </row>
    <row r="140" spans="3:15">
      <c r="D140" s="11" t="str">
        <f t="shared" si="24"/>
        <v/>
      </c>
      <c r="E140" s="501"/>
      <c r="F140" s="501">
        <f t="shared" si="26"/>
        <v>0</v>
      </c>
      <c r="G140" s="226">
        <f t="shared" si="28"/>
        <v>0</v>
      </c>
      <c r="H140" s="226">
        <f t="shared" si="29"/>
        <v>0</v>
      </c>
      <c r="I140" s="226">
        <f t="shared" si="30"/>
        <v>0</v>
      </c>
      <c r="J140" s="226">
        <f t="shared" si="31"/>
        <v>0</v>
      </c>
      <c r="K140" s="226">
        <f t="shared" si="32"/>
        <v>0</v>
      </c>
      <c r="L140" s="226">
        <f t="shared" si="33"/>
        <v>0</v>
      </c>
      <c r="M140" s="226">
        <f t="shared" si="34"/>
        <v>0</v>
      </c>
      <c r="N140" s="226">
        <f t="shared" si="35"/>
        <v>0</v>
      </c>
      <c r="O140" s="226">
        <f t="shared" si="35"/>
        <v>0</v>
      </c>
    </row>
    <row r="141" spans="3:15">
      <c r="D141" s="8" t="str">
        <f t="shared" si="24"/>
        <v/>
      </c>
      <c r="E141" s="502"/>
      <c r="F141" s="502">
        <f t="shared" si="26"/>
        <v>0</v>
      </c>
      <c r="G141" s="1">
        <f t="shared" si="28"/>
        <v>0</v>
      </c>
      <c r="H141" s="1">
        <f t="shared" si="29"/>
        <v>0</v>
      </c>
      <c r="I141" s="1">
        <f t="shared" si="30"/>
        <v>0</v>
      </c>
      <c r="J141" s="1">
        <f t="shared" si="31"/>
        <v>0</v>
      </c>
      <c r="K141" s="1">
        <f t="shared" si="32"/>
        <v>0</v>
      </c>
      <c r="L141" s="1">
        <f t="shared" si="33"/>
        <v>0</v>
      </c>
      <c r="M141" s="1">
        <f t="shared" si="34"/>
        <v>0</v>
      </c>
      <c r="N141" s="1">
        <f t="shared" si="35"/>
        <v>0</v>
      </c>
      <c r="O141" s="1">
        <f t="shared" si="35"/>
        <v>0</v>
      </c>
    </row>
    <row r="142" spans="3:15" ht="4.5" customHeight="1">
      <c r="E142" s="14"/>
      <c r="F142" s="14"/>
      <c r="G142" s="14"/>
      <c r="H142" s="14"/>
      <c r="I142" s="14"/>
      <c r="J142" s="14"/>
      <c r="K142" s="14"/>
      <c r="L142" s="14"/>
      <c r="M142" s="14"/>
      <c r="N142" s="14"/>
      <c r="O142" s="14"/>
    </row>
    <row r="143" spans="3:15">
      <c r="C143" s="100" t="s">
        <v>231</v>
      </c>
      <c r="E143" s="129"/>
      <c r="F143" s="129"/>
      <c r="G143" s="129"/>
      <c r="H143" s="129"/>
      <c r="I143" s="129"/>
      <c r="J143" s="129"/>
      <c r="K143" s="129"/>
      <c r="L143" s="129"/>
      <c r="M143" s="129"/>
      <c r="N143" s="129"/>
      <c r="O143" s="129"/>
    </row>
    <row r="144" spans="3:15">
      <c r="D144" s="11" t="str">
        <f>IF(ISBLANK(D128), "", D128)</f>
        <v>Z1000 External</v>
      </c>
      <c r="E144" s="503"/>
      <c r="F144" s="503">
        <f>IF( $D144 = "", "", IFERROR(PPMT($E112, F128, $E96, -$Q78, 0), 0))</f>
        <v>0</v>
      </c>
      <c r="G144" s="227">
        <f t="shared" ref="G144:N144" si="36">IF( $D144 = "", "", IFERROR(PPMT($E112, G128, $E96, -$Q78, 0), 0))</f>
        <v>2.5185557110567824</v>
      </c>
      <c r="H144" s="227">
        <f t="shared" si="36"/>
        <v>2.8207823963835961</v>
      </c>
      <c r="I144" s="227">
        <f t="shared" si="36"/>
        <v>3.1592762839496276</v>
      </c>
      <c r="J144" s="227">
        <f t="shared" si="36"/>
        <v>3.5383894380235832</v>
      </c>
      <c r="K144" s="227">
        <f t="shared" si="36"/>
        <v>0</v>
      </c>
      <c r="L144" s="227">
        <f t="shared" si="36"/>
        <v>0</v>
      </c>
      <c r="M144" s="227">
        <f t="shared" si="36"/>
        <v>0</v>
      </c>
      <c r="N144" s="227">
        <f t="shared" si="36"/>
        <v>0</v>
      </c>
      <c r="O144" s="227">
        <f t="shared" ref="O144" si="37">IF( $D144 = "", "", IFERROR(PPMT($E112, O128, $E96, -$Q78, 0), 0))</f>
        <v>0</v>
      </c>
    </row>
    <row r="145" spans="3:15">
      <c r="D145" s="8" t="str">
        <f t="shared" ref="D145:D156" si="38">IF(ISBLANK(D129), "", D129)</f>
        <v>Z1000 Olon</v>
      </c>
      <c r="E145" s="504"/>
      <c r="F145" s="504">
        <f t="shared" ref="F145:N145" si="39">IF( $D145 = "", "", IFERROR(PPMT($E113, F129, $E97, -$Q79, 0), 0))</f>
        <v>0</v>
      </c>
      <c r="G145" s="129">
        <f t="shared" si="39"/>
        <v>9.75680202371543</v>
      </c>
      <c r="H145" s="129">
        <f t="shared" si="39"/>
        <v>10.342210145138354</v>
      </c>
      <c r="I145" s="129">
        <f t="shared" si="39"/>
        <v>10.962742753846655</v>
      </c>
      <c r="J145" s="129">
        <f t="shared" si="39"/>
        <v>11.620507319077454</v>
      </c>
      <c r="K145" s="129">
        <f t="shared" si="39"/>
        <v>0</v>
      </c>
      <c r="L145" s="129">
        <f t="shared" si="39"/>
        <v>0</v>
      </c>
      <c r="M145" s="129">
        <f t="shared" si="39"/>
        <v>0</v>
      </c>
      <c r="N145" s="129">
        <f t="shared" si="39"/>
        <v>0</v>
      </c>
      <c r="O145" s="129">
        <f t="shared" ref="O145" si="40">IF( $D145 = "", "", IFERROR(PPMT($E113, O129, $E97, -$Q79, 0), 0))</f>
        <v>0</v>
      </c>
    </row>
    <row r="146" spans="3:15">
      <c r="D146" s="11" t="str">
        <f t="shared" si="38"/>
        <v>SLC Financing</v>
      </c>
      <c r="E146" s="503"/>
      <c r="F146" s="503">
        <f t="shared" ref="F146:N146" si="41">IF( $D146 = "", "", IFERROR(PPMT($E114, F130, $E98, -$Q80, 0), 0))</f>
        <v>0</v>
      </c>
      <c r="G146" s="227">
        <f t="shared" si="41"/>
        <v>3.2759496158949077</v>
      </c>
      <c r="H146" s="227">
        <f t="shared" si="41"/>
        <v>3.6035445774843988</v>
      </c>
      <c r="I146" s="227">
        <f t="shared" si="41"/>
        <v>3.9638990352328385</v>
      </c>
      <c r="J146" s="227">
        <f t="shared" si="41"/>
        <v>4.3602889387561223</v>
      </c>
      <c r="K146" s="227">
        <f t="shared" si="41"/>
        <v>4.7963178326317344</v>
      </c>
      <c r="L146" s="227">
        <f t="shared" si="41"/>
        <v>0</v>
      </c>
      <c r="M146" s="227">
        <f t="shared" si="41"/>
        <v>0</v>
      </c>
      <c r="N146" s="227">
        <f t="shared" si="41"/>
        <v>0</v>
      </c>
      <c r="O146" s="227">
        <f t="shared" ref="O146" si="42">IF( $D146 = "", "", IFERROR(PPMT($E114, O130, $E98, -$Q80, 0), 0))</f>
        <v>0</v>
      </c>
    </row>
    <row r="147" spans="3:15">
      <c r="D147" s="8" t="str">
        <f t="shared" si="38"/>
        <v>Nth Bio I</v>
      </c>
      <c r="E147" s="504"/>
      <c r="F147" s="504">
        <f t="shared" ref="F147:N147" si="43">IF( $D147 = "", "", IFERROR(PPMT($E115, F131, $E99, -$Q81, 0), 0))</f>
        <v>0</v>
      </c>
      <c r="G147" s="129">
        <f t="shared" si="43"/>
        <v>0</v>
      </c>
      <c r="H147" s="129">
        <f t="shared" si="43"/>
        <v>1.6379748079474539</v>
      </c>
      <c r="I147" s="129">
        <f t="shared" si="43"/>
        <v>1.8017722887421994</v>
      </c>
      <c r="J147" s="129">
        <f t="shared" si="43"/>
        <v>1.9819495176164192</v>
      </c>
      <c r="K147" s="129">
        <f t="shared" si="43"/>
        <v>2.1801444693780612</v>
      </c>
      <c r="L147" s="129">
        <f t="shared" si="43"/>
        <v>2.3981589163158672</v>
      </c>
      <c r="M147" s="129">
        <f t="shared" si="43"/>
        <v>0</v>
      </c>
      <c r="N147" s="129">
        <f t="shared" si="43"/>
        <v>0</v>
      </c>
      <c r="O147" s="129">
        <f t="shared" ref="O147" si="44">IF( $D147 = "", "", IFERROR(PPMT($E115, O131, $E99, -$Q81, 0), 0))</f>
        <v>0</v>
      </c>
    </row>
    <row r="148" spans="3:15">
      <c r="D148" s="11" t="str">
        <f t="shared" si="38"/>
        <v>Nth Bio II</v>
      </c>
      <c r="E148" s="503"/>
      <c r="F148" s="503">
        <f t="shared" ref="F148:N148" si="45">IF( $D148 = "", "", IFERROR(PPMT($E116, F132, $E100, -$Q82, 0), 0))</f>
        <v>0</v>
      </c>
      <c r="G148" s="227">
        <f t="shared" si="45"/>
        <v>0</v>
      </c>
      <c r="H148" s="227">
        <f t="shared" si="45"/>
        <v>0</v>
      </c>
      <c r="I148" s="227">
        <f t="shared" si="45"/>
        <v>1.6379748079474539</v>
      </c>
      <c r="J148" s="227">
        <f t="shared" si="45"/>
        <v>1.8017722887421994</v>
      </c>
      <c r="K148" s="227">
        <f t="shared" si="45"/>
        <v>1.9819495176164192</v>
      </c>
      <c r="L148" s="227">
        <f t="shared" si="45"/>
        <v>2.1801444693780612</v>
      </c>
      <c r="M148" s="227">
        <f t="shared" si="45"/>
        <v>2.3981589163158672</v>
      </c>
      <c r="N148" s="227">
        <f t="shared" si="45"/>
        <v>0</v>
      </c>
      <c r="O148" s="227">
        <f t="shared" ref="O148" si="46">IF( $D148 = "", "", IFERROR(PPMT($E116, O132, $E100, -$Q82, 0), 0))</f>
        <v>0</v>
      </c>
    </row>
    <row r="149" spans="3:15">
      <c r="D149" s="8" t="str">
        <f t="shared" si="38"/>
        <v>Nth Bio III</v>
      </c>
      <c r="E149" s="504"/>
      <c r="F149" s="504">
        <f t="shared" ref="F149:N149" si="47">IF( $D149 = "", "", IFERROR(PPMT($E117, F133, $E101, -$Q83, 0), 0))</f>
        <v>0</v>
      </c>
      <c r="G149" s="129">
        <f t="shared" si="47"/>
        <v>0</v>
      </c>
      <c r="H149" s="129">
        <f t="shared" si="47"/>
        <v>0</v>
      </c>
      <c r="I149" s="129">
        <f t="shared" si="47"/>
        <v>0</v>
      </c>
      <c r="J149" s="129">
        <f t="shared" si="47"/>
        <v>1.6379748079474539</v>
      </c>
      <c r="K149" s="129">
        <f t="shared" si="47"/>
        <v>1.8017722887421994</v>
      </c>
      <c r="L149" s="129">
        <f t="shared" si="47"/>
        <v>1.9819495176164192</v>
      </c>
      <c r="M149" s="129">
        <f t="shared" si="47"/>
        <v>2.1801444693780612</v>
      </c>
      <c r="N149" s="129">
        <f t="shared" si="47"/>
        <v>2.3981589163158672</v>
      </c>
      <c r="O149" s="129">
        <f t="shared" ref="O149" si="48">IF( $D149 = "", "", IFERROR(PPMT($E117, O133, $E101, -$Q83, 0), 0))</f>
        <v>0</v>
      </c>
    </row>
    <row r="150" spans="3:15">
      <c r="D150" s="11" t="str">
        <f t="shared" si="38"/>
        <v/>
      </c>
      <c r="E150" s="503"/>
      <c r="F150" s="503" t="str">
        <f t="shared" ref="F150:N150" si="49">IF( $D150 = "", "", IFERROR(PPMT($E118, F134, $E102, -$Q84, 0), 0))</f>
        <v/>
      </c>
      <c r="G150" s="227" t="str">
        <f t="shared" si="49"/>
        <v/>
      </c>
      <c r="H150" s="227" t="str">
        <f t="shared" si="49"/>
        <v/>
      </c>
      <c r="I150" s="227" t="str">
        <f t="shared" si="49"/>
        <v/>
      </c>
      <c r="J150" s="227" t="str">
        <f t="shared" si="49"/>
        <v/>
      </c>
      <c r="K150" s="227" t="str">
        <f t="shared" si="49"/>
        <v/>
      </c>
      <c r="L150" s="227" t="str">
        <f t="shared" si="49"/>
        <v/>
      </c>
      <c r="M150" s="227" t="str">
        <f t="shared" si="49"/>
        <v/>
      </c>
      <c r="N150" s="227" t="str">
        <f t="shared" si="49"/>
        <v/>
      </c>
      <c r="O150" s="227" t="str">
        <f t="shared" ref="O150" si="50">IF( $D150 = "", "", IFERROR(PPMT($E118, O134, $E102, -$Q84, 0), 0))</f>
        <v/>
      </c>
    </row>
    <row r="151" spans="3:15">
      <c r="D151" s="8" t="str">
        <f t="shared" si="38"/>
        <v/>
      </c>
      <c r="E151" s="504"/>
      <c r="F151" s="504" t="str">
        <f t="shared" ref="F151:N151" si="51">IF( $D151 = "", "", IFERROR(PPMT($E119, F135, $E103, -$Q85, 0), 0))</f>
        <v/>
      </c>
      <c r="G151" s="129" t="str">
        <f t="shared" si="51"/>
        <v/>
      </c>
      <c r="H151" s="129" t="str">
        <f t="shared" si="51"/>
        <v/>
      </c>
      <c r="I151" s="129" t="str">
        <f t="shared" si="51"/>
        <v/>
      </c>
      <c r="J151" s="129" t="str">
        <f t="shared" si="51"/>
        <v/>
      </c>
      <c r="K151" s="129" t="str">
        <f t="shared" si="51"/>
        <v/>
      </c>
      <c r="L151" s="129" t="str">
        <f t="shared" si="51"/>
        <v/>
      </c>
      <c r="M151" s="129" t="str">
        <f t="shared" si="51"/>
        <v/>
      </c>
      <c r="N151" s="129" t="str">
        <f t="shared" si="51"/>
        <v/>
      </c>
      <c r="O151" s="129" t="str">
        <f t="shared" ref="O151" si="52">IF( $D151 = "", "", IFERROR(PPMT($E119, O135, $E103, -$Q85, 0), 0))</f>
        <v/>
      </c>
    </row>
    <row r="152" spans="3:15">
      <c r="D152" s="11" t="str">
        <f t="shared" si="38"/>
        <v/>
      </c>
      <c r="E152" s="503"/>
      <c r="F152" s="503" t="str">
        <f t="shared" ref="F152:N152" si="53">IF( $D152 = "", "", IFERROR(PPMT($E120, F136, $E104, -$Q86, 0), 0))</f>
        <v/>
      </c>
      <c r="G152" s="227" t="str">
        <f t="shared" si="53"/>
        <v/>
      </c>
      <c r="H152" s="227" t="str">
        <f t="shared" si="53"/>
        <v/>
      </c>
      <c r="I152" s="227" t="str">
        <f t="shared" si="53"/>
        <v/>
      </c>
      <c r="J152" s="227" t="str">
        <f t="shared" si="53"/>
        <v/>
      </c>
      <c r="K152" s="227" t="str">
        <f t="shared" si="53"/>
        <v/>
      </c>
      <c r="L152" s="227" t="str">
        <f t="shared" si="53"/>
        <v/>
      </c>
      <c r="M152" s="227" t="str">
        <f t="shared" si="53"/>
        <v/>
      </c>
      <c r="N152" s="227" t="str">
        <f t="shared" si="53"/>
        <v/>
      </c>
      <c r="O152" s="227" t="str">
        <f t="shared" ref="O152" si="54">IF( $D152 = "", "", IFERROR(PPMT($E120, O136, $E104, -$Q86, 0), 0))</f>
        <v/>
      </c>
    </row>
    <row r="153" spans="3:15">
      <c r="D153" s="8" t="str">
        <f t="shared" si="38"/>
        <v/>
      </c>
      <c r="E153" s="504"/>
      <c r="F153" s="504" t="str">
        <f t="shared" ref="F153:N153" si="55">IF( $D153 = "", "", IFERROR(PPMT($E121, F137, $E105, -$Q87, 0), 0))</f>
        <v/>
      </c>
      <c r="G153" s="129" t="str">
        <f t="shared" si="55"/>
        <v/>
      </c>
      <c r="H153" s="129" t="str">
        <f t="shared" si="55"/>
        <v/>
      </c>
      <c r="I153" s="129" t="str">
        <f t="shared" si="55"/>
        <v/>
      </c>
      <c r="J153" s="129" t="str">
        <f t="shared" si="55"/>
        <v/>
      </c>
      <c r="K153" s="129" t="str">
        <f t="shared" si="55"/>
        <v/>
      </c>
      <c r="L153" s="129" t="str">
        <f t="shared" si="55"/>
        <v/>
      </c>
      <c r="M153" s="129" t="str">
        <f t="shared" si="55"/>
        <v/>
      </c>
      <c r="N153" s="129" t="str">
        <f t="shared" si="55"/>
        <v/>
      </c>
      <c r="O153" s="129" t="str">
        <f t="shared" ref="O153" si="56">IF( $D153 = "", "", IFERROR(PPMT($E121, O137, $E105, -$Q87, 0), 0))</f>
        <v/>
      </c>
    </row>
    <row r="154" spans="3:15">
      <c r="D154" s="11" t="str">
        <f t="shared" si="38"/>
        <v/>
      </c>
      <c r="E154" s="503"/>
      <c r="F154" s="503" t="str">
        <f t="shared" ref="F154:N154" si="57">IF( $D154 = "", "", IFERROR(PPMT($E122, F138, $E106, -$Q88, 0), 0))</f>
        <v/>
      </c>
      <c r="G154" s="227" t="str">
        <f t="shared" si="57"/>
        <v/>
      </c>
      <c r="H154" s="227" t="str">
        <f t="shared" si="57"/>
        <v/>
      </c>
      <c r="I154" s="227" t="str">
        <f t="shared" si="57"/>
        <v/>
      </c>
      <c r="J154" s="227" t="str">
        <f t="shared" si="57"/>
        <v/>
      </c>
      <c r="K154" s="227" t="str">
        <f t="shared" si="57"/>
        <v/>
      </c>
      <c r="L154" s="227" t="str">
        <f t="shared" si="57"/>
        <v/>
      </c>
      <c r="M154" s="227" t="str">
        <f t="shared" si="57"/>
        <v/>
      </c>
      <c r="N154" s="227" t="str">
        <f t="shared" si="57"/>
        <v/>
      </c>
      <c r="O154" s="227" t="str">
        <f t="shared" ref="O154" si="58">IF( $D154 = "", "", IFERROR(PPMT($E122, O138, $E106, -$Q88, 0), 0))</f>
        <v/>
      </c>
    </row>
    <row r="155" spans="3:15">
      <c r="D155" s="8" t="str">
        <f t="shared" si="38"/>
        <v>Refinancing I</v>
      </c>
      <c r="E155" s="504"/>
      <c r="F155" s="504">
        <f t="shared" ref="F155:N155" si="59">IF( $D155 = "", "", IFERROR(PPMT($E123, F139, $E107, -$Q89, 0), 0))</f>
        <v>0</v>
      </c>
      <c r="G155" s="129">
        <f t="shared" si="59"/>
        <v>0</v>
      </c>
      <c r="H155" s="129">
        <f t="shared" si="59"/>
        <v>0</v>
      </c>
      <c r="I155" s="129">
        <f t="shared" si="59"/>
        <v>0</v>
      </c>
      <c r="J155" s="129">
        <f t="shared" si="59"/>
        <v>3.6829544936020042</v>
      </c>
      <c r="K155" s="129">
        <f t="shared" si="59"/>
        <v>3.9775908530901649</v>
      </c>
      <c r="L155" s="129">
        <f t="shared" si="59"/>
        <v>4.295798121337377</v>
      </c>
      <c r="M155" s="129">
        <f t="shared" si="59"/>
        <v>4.6394619710443683</v>
      </c>
      <c r="N155" s="129">
        <f t="shared" si="59"/>
        <v>5.0106189287279168</v>
      </c>
      <c r="O155" s="129">
        <f t="shared" ref="O155" si="60">IF( $D155 = "", "", IFERROR(PPMT($E123, O139, $E107, -$Q89, 0), 0))</f>
        <v>5.4114684430261502</v>
      </c>
    </row>
    <row r="156" spans="3:15">
      <c r="D156" s="11" t="str">
        <f t="shared" si="38"/>
        <v/>
      </c>
      <c r="E156" s="503"/>
      <c r="F156" s="503" t="str">
        <f t="shared" ref="F156:N156" si="61">IF( $D156 = "", "", IFERROR(PPMT($E124, F140, $E108, -$Q90, 0), 0))</f>
        <v/>
      </c>
      <c r="G156" s="227" t="str">
        <f t="shared" si="61"/>
        <v/>
      </c>
      <c r="H156" s="227" t="str">
        <f t="shared" si="61"/>
        <v/>
      </c>
      <c r="I156" s="227" t="str">
        <f t="shared" si="61"/>
        <v/>
      </c>
      <c r="J156" s="227" t="str">
        <f t="shared" si="61"/>
        <v/>
      </c>
      <c r="K156" s="227" t="str">
        <f t="shared" si="61"/>
        <v/>
      </c>
      <c r="L156" s="227" t="str">
        <f t="shared" si="61"/>
        <v/>
      </c>
      <c r="M156" s="227" t="str">
        <f t="shared" si="61"/>
        <v/>
      </c>
      <c r="N156" s="227" t="str">
        <f t="shared" si="61"/>
        <v/>
      </c>
      <c r="O156" s="227" t="str">
        <f t="shared" ref="O156" si="62">IF( $D156 = "", "", IFERROR(PPMT($E124, O140, $E108, -$Q90, 0), 0))</f>
        <v/>
      </c>
    </row>
    <row r="157" spans="3:15">
      <c r="D157" s="8" t="s">
        <v>646</v>
      </c>
      <c r="E157" s="504"/>
      <c r="F157" s="504">
        <f t="shared" ref="F157:N157" si="63">IF( $D157 = "", "", IFERROR(PPMT($E125, F141, $E109, -$Q91, 0), 0))</f>
        <v>0</v>
      </c>
      <c r="G157" s="129">
        <v>12.4</v>
      </c>
      <c r="H157" s="129">
        <v>4.4000000000000004</v>
      </c>
      <c r="I157" s="129">
        <v>2.5</v>
      </c>
      <c r="J157" s="129">
        <v>2.4</v>
      </c>
      <c r="K157" s="129">
        <v>2.4</v>
      </c>
      <c r="L157" s="129">
        <f t="shared" si="63"/>
        <v>0</v>
      </c>
      <c r="M157" s="129">
        <f t="shared" si="63"/>
        <v>0</v>
      </c>
      <c r="N157" s="129">
        <f t="shared" si="63"/>
        <v>0</v>
      </c>
      <c r="O157" s="129">
        <f t="shared" ref="O157" si="64">IF( $D157 = "", "", IFERROR(PPMT($E125, O141, $E109, -$Q91, 0), 0))</f>
        <v>0</v>
      </c>
    </row>
    <row r="158" spans="3:15">
      <c r="C158" s="100" t="s">
        <v>355</v>
      </c>
      <c r="E158" s="206">
        <f>SUM(E144:E157)</f>
        <v>0</v>
      </c>
      <c r="F158" s="206">
        <f t="shared" ref="F158:N158" si="65">SUM(F144:F157)</f>
        <v>0</v>
      </c>
      <c r="G158" s="206">
        <f t="shared" si="65"/>
        <v>27.951307350667122</v>
      </c>
      <c r="H158" s="206">
        <f t="shared" si="65"/>
        <v>22.804511926953801</v>
      </c>
      <c r="I158" s="206">
        <f t="shared" si="65"/>
        <v>24.025665169718774</v>
      </c>
      <c r="J158" s="206">
        <f t="shared" si="65"/>
        <v>31.023836803765239</v>
      </c>
      <c r="K158" s="206">
        <f t="shared" si="65"/>
        <v>17.137774961458579</v>
      </c>
      <c r="L158" s="206">
        <f t="shared" si="65"/>
        <v>10.856051024647725</v>
      </c>
      <c r="M158" s="206">
        <f t="shared" si="65"/>
        <v>9.2177653567382976</v>
      </c>
      <c r="N158" s="206">
        <f t="shared" si="65"/>
        <v>7.408777845043784</v>
      </c>
      <c r="O158" s="206">
        <f t="shared" ref="O158" si="66">SUM(O144:O157)</f>
        <v>5.4114684430261502</v>
      </c>
    </row>
    <row r="159" spans="3:15">
      <c r="E159" s="206"/>
      <c r="F159" s="206"/>
      <c r="G159" s="206">
        <f>+G158+G176+G199+G200+G208+G209+G217+G216</f>
        <v>40.905041110788211</v>
      </c>
      <c r="H159" s="206">
        <f t="shared" ref="H159:O159" si="67">+H158+H176+H199+H200+H208+H209+H217+H216</f>
        <v>41.917865758690255</v>
      </c>
      <c r="I159" s="206">
        <f t="shared" si="67"/>
        <v>71.674248751051181</v>
      </c>
      <c r="J159" s="206">
        <f t="shared" si="67"/>
        <v>84.695178052600639</v>
      </c>
      <c r="K159" s="206">
        <f t="shared" si="67"/>
        <v>94.459578148221013</v>
      </c>
      <c r="L159" s="206">
        <f t="shared" si="67"/>
        <v>91.140149190778175</v>
      </c>
      <c r="M159" s="206">
        <f t="shared" si="67"/>
        <v>119.77546599953133</v>
      </c>
      <c r="N159" s="206">
        <f t="shared" si="67"/>
        <v>47.310499407094696</v>
      </c>
      <c r="O159" s="206">
        <f t="shared" si="67"/>
        <v>44.672524599147245</v>
      </c>
    </row>
    <row r="160" spans="3:15" ht="4.5" customHeight="1">
      <c r="E160" s="14"/>
      <c r="F160" s="14"/>
      <c r="G160" s="14"/>
      <c r="H160" s="14"/>
      <c r="I160" s="14"/>
      <c r="J160" s="14"/>
      <c r="K160" s="14"/>
      <c r="L160" s="14"/>
      <c r="M160" s="14"/>
      <c r="N160" s="14"/>
      <c r="O160" s="14"/>
    </row>
    <row r="161" spans="3:15">
      <c r="C161" s="100" t="s">
        <v>356</v>
      </c>
      <c r="E161" s="129"/>
      <c r="F161" s="129"/>
      <c r="G161" s="129"/>
      <c r="H161" s="129"/>
      <c r="I161" s="129"/>
      <c r="J161" s="129"/>
      <c r="K161" s="129"/>
      <c r="L161" s="129"/>
      <c r="M161" s="129"/>
      <c r="N161" s="129"/>
      <c r="O161" s="129"/>
    </row>
    <row r="162" spans="3:15">
      <c r="D162" s="11" t="str">
        <f t="shared" ref="D162:D175" si="68">IF(ISBLANK(D144), "", D144)</f>
        <v>Z1000 External</v>
      </c>
      <c r="E162" s="503"/>
      <c r="F162" s="503">
        <f>IF( $D162 = "",  "",  IFERROR(IPMT($E112, F128, $E96, -$Q78, 0), 0))</f>
        <v>0</v>
      </c>
      <c r="G162" s="227">
        <f t="shared" ref="G162:N162" si="69">IF( $D162 = "",  "",  IFERROR(IPMT($E112, G128, $E96, -$Q78, 0), 0))</f>
        <v>1.92</v>
      </c>
      <c r="H162" s="227">
        <f t="shared" si="69"/>
        <v>1.6177733146731861</v>
      </c>
      <c r="I162" s="227">
        <f t="shared" si="69"/>
        <v>1.2792794271071548</v>
      </c>
      <c r="J162" s="227">
        <f t="shared" si="69"/>
        <v>0.90016627303319929</v>
      </c>
      <c r="K162" s="227">
        <f t="shared" si="69"/>
        <v>0</v>
      </c>
      <c r="L162" s="227">
        <f t="shared" si="69"/>
        <v>0</v>
      </c>
      <c r="M162" s="227">
        <f t="shared" si="69"/>
        <v>0</v>
      </c>
      <c r="N162" s="227">
        <f t="shared" si="69"/>
        <v>0</v>
      </c>
      <c r="O162" s="227">
        <f t="shared" ref="O162" si="70">IF( $D162 = "",  "",  IFERROR(IPMT($E112, O128, $E96, -$Q78, 0), 0))</f>
        <v>0</v>
      </c>
    </row>
    <row r="163" spans="3:15">
      <c r="D163" s="8" t="str">
        <f t="shared" si="68"/>
        <v>Z1000 Olon</v>
      </c>
      <c r="E163" s="504"/>
      <c r="F163" s="504">
        <f t="shared" ref="F163:N163" si="71">IF( $D163 = "",  "",  IFERROR(IPMT($E113, F129, $E97, -$Q79, 0), 0))</f>
        <v>0</v>
      </c>
      <c r="G163" s="129">
        <f t="shared" si="71"/>
        <v>3.3</v>
      </c>
      <c r="H163" s="129">
        <f t="shared" si="71"/>
        <v>2.7145918785770737</v>
      </c>
      <c r="I163" s="129">
        <f t="shared" si="71"/>
        <v>2.0940592698687723</v>
      </c>
      <c r="J163" s="129">
        <f t="shared" si="71"/>
        <v>1.4362947046379733</v>
      </c>
      <c r="K163" s="129">
        <f t="shared" si="71"/>
        <v>0</v>
      </c>
      <c r="L163" s="129">
        <f t="shared" si="71"/>
        <v>0</v>
      </c>
      <c r="M163" s="129">
        <f t="shared" si="71"/>
        <v>0</v>
      </c>
      <c r="N163" s="129">
        <f t="shared" si="71"/>
        <v>0</v>
      </c>
      <c r="O163" s="129">
        <f t="shared" ref="O163" si="72">IF( $D163 = "",  "",  IFERROR(IPMT($E113, O129, $E97, -$Q79, 0), 0))</f>
        <v>0</v>
      </c>
    </row>
    <row r="164" spans="3:15">
      <c r="D164" s="11" t="str">
        <f t="shared" si="68"/>
        <v>SLC Financing</v>
      </c>
      <c r="E164" s="503"/>
      <c r="F164" s="503">
        <f t="shared" ref="F164:N164" si="73">IF( $D164 = "",  "",  IFERROR(IPMT($E114, F130, $E98, -$Q80, 0), 0))</f>
        <v>0</v>
      </c>
      <c r="G164" s="227">
        <f t="shared" si="73"/>
        <v>2</v>
      </c>
      <c r="H164" s="227">
        <f t="shared" si="73"/>
        <v>1.6724050384105096</v>
      </c>
      <c r="I164" s="227">
        <f t="shared" si="73"/>
        <v>1.3120505806620693</v>
      </c>
      <c r="J164" s="227">
        <f t="shared" si="73"/>
        <v>0.91566067713878552</v>
      </c>
      <c r="K164" s="227">
        <f t="shared" si="73"/>
        <v>0.47963178326317335</v>
      </c>
      <c r="L164" s="227">
        <f t="shared" si="73"/>
        <v>0</v>
      </c>
      <c r="M164" s="227">
        <f t="shared" si="73"/>
        <v>0</v>
      </c>
      <c r="N164" s="227">
        <f t="shared" si="73"/>
        <v>0</v>
      </c>
      <c r="O164" s="227">
        <f t="shared" ref="O164" si="74">IF( $D164 = "",  "",  IFERROR(IPMT($E114, O130, $E98, -$Q80, 0), 0))</f>
        <v>0</v>
      </c>
    </row>
    <row r="165" spans="3:15">
      <c r="D165" s="8" t="str">
        <f t="shared" si="68"/>
        <v>Nth Bio I</v>
      </c>
      <c r="E165" s="504"/>
      <c r="F165" s="504">
        <f t="shared" ref="F165:N165" si="75">IF( $D165 = "",  "",  IFERROR(IPMT($E115, F131, $E99, -$Q81, 0), 0))</f>
        <v>0</v>
      </c>
      <c r="G165" s="129">
        <f t="shared" si="75"/>
        <v>0</v>
      </c>
      <c r="H165" s="129">
        <f t="shared" si="75"/>
        <v>1</v>
      </c>
      <c r="I165" s="129">
        <f t="shared" si="75"/>
        <v>0.83620251920525479</v>
      </c>
      <c r="J165" s="129">
        <f t="shared" si="75"/>
        <v>0.65602529033103463</v>
      </c>
      <c r="K165" s="129">
        <f t="shared" si="75"/>
        <v>0.45783033856939276</v>
      </c>
      <c r="L165" s="129">
        <f t="shared" si="75"/>
        <v>0.23981589163158668</v>
      </c>
      <c r="M165" s="129">
        <f t="shared" si="75"/>
        <v>0</v>
      </c>
      <c r="N165" s="129">
        <f t="shared" si="75"/>
        <v>0</v>
      </c>
      <c r="O165" s="129">
        <f t="shared" ref="O165" si="76">IF( $D165 = "",  "",  IFERROR(IPMT($E115, O131, $E99, -$Q81, 0), 0))</f>
        <v>0</v>
      </c>
    </row>
    <row r="166" spans="3:15">
      <c r="D166" s="11" t="str">
        <f t="shared" si="68"/>
        <v>Nth Bio II</v>
      </c>
      <c r="E166" s="503"/>
      <c r="F166" s="503">
        <f t="shared" ref="F166:N166" si="77">IF( $D166 = "",  "",  IFERROR(IPMT($E116, F132, $E100, -$Q82, 0), 0))</f>
        <v>0</v>
      </c>
      <c r="G166" s="227">
        <f t="shared" si="77"/>
        <v>0</v>
      </c>
      <c r="H166" s="227">
        <f t="shared" si="77"/>
        <v>0</v>
      </c>
      <c r="I166" s="227">
        <f t="shared" si="77"/>
        <v>1</v>
      </c>
      <c r="J166" s="227">
        <f t="shared" si="77"/>
        <v>0.83620251920525479</v>
      </c>
      <c r="K166" s="227">
        <f t="shared" si="77"/>
        <v>0.65602529033103463</v>
      </c>
      <c r="L166" s="227">
        <f t="shared" si="77"/>
        <v>0.45783033856939276</v>
      </c>
      <c r="M166" s="227">
        <f t="shared" si="77"/>
        <v>0.23981589163158668</v>
      </c>
      <c r="N166" s="227">
        <f t="shared" si="77"/>
        <v>0</v>
      </c>
      <c r="O166" s="227">
        <f t="shared" ref="O166" si="78">IF( $D166 = "",  "",  IFERROR(IPMT($E116, O132, $E100, -$Q82, 0), 0))</f>
        <v>0</v>
      </c>
    </row>
    <row r="167" spans="3:15">
      <c r="D167" s="8" t="str">
        <f t="shared" si="68"/>
        <v>Nth Bio III</v>
      </c>
      <c r="E167" s="504"/>
      <c r="F167" s="504">
        <f t="shared" ref="F167:N167" si="79">IF( $D167 = "",  "",  IFERROR(IPMT($E117, F133, $E101, -$Q83, 0), 0))</f>
        <v>0</v>
      </c>
      <c r="G167" s="129">
        <f t="shared" si="79"/>
        <v>0</v>
      </c>
      <c r="H167" s="129">
        <f t="shared" si="79"/>
        <v>0</v>
      </c>
      <c r="I167" s="129">
        <f t="shared" si="79"/>
        <v>0</v>
      </c>
      <c r="J167" s="129">
        <f t="shared" si="79"/>
        <v>1</v>
      </c>
      <c r="K167" s="129">
        <f t="shared" si="79"/>
        <v>0.83620251920525479</v>
      </c>
      <c r="L167" s="129">
        <f t="shared" si="79"/>
        <v>0.65602529033103463</v>
      </c>
      <c r="M167" s="129">
        <f t="shared" si="79"/>
        <v>0.45783033856939276</v>
      </c>
      <c r="N167" s="129">
        <f t="shared" si="79"/>
        <v>0.23981589163158668</v>
      </c>
      <c r="O167" s="129">
        <f t="shared" ref="O167" si="80">IF( $D167 = "",  "",  IFERROR(IPMT($E117, O133, $E101, -$Q83, 0), 0))</f>
        <v>0</v>
      </c>
    </row>
    <row r="168" spans="3:15">
      <c r="D168" s="11" t="str">
        <f t="shared" si="68"/>
        <v/>
      </c>
      <c r="E168" s="503"/>
      <c r="F168" s="503" t="str">
        <f t="shared" ref="F168:N168" si="81">IF( $D168 = "",  "",  IFERROR(IPMT($E118, F134, $E102, -$Q84, 0), 0))</f>
        <v/>
      </c>
      <c r="G168" s="227" t="str">
        <f t="shared" si="81"/>
        <v/>
      </c>
      <c r="H168" s="227" t="str">
        <f t="shared" si="81"/>
        <v/>
      </c>
      <c r="I168" s="227" t="str">
        <f t="shared" si="81"/>
        <v/>
      </c>
      <c r="J168" s="227" t="str">
        <f t="shared" si="81"/>
        <v/>
      </c>
      <c r="K168" s="227" t="str">
        <f t="shared" si="81"/>
        <v/>
      </c>
      <c r="L168" s="227" t="str">
        <f t="shared" si="81"/>
        <v/>
      </c>
      <c r="M168" s="227" t="str">
        <f t="shared" si="81"/>
        <v/>
      </c>
      <c r="N168" s="227" t="str">
        <f t="shared" si="81"/>
        <v/>
      </c>
      <c r="O168" s="227" t="str">
        <f t="shared" ref="O168" si="82">IF( $D168 = "",  "",  IFERROR(IPMT($E118, O134, $E102, -$Q84, 0), 0))</f>
        <v/>
      </c>
    </row>
    <row r="169" spans="3:15">
      <c r="D169" s="8" t="str">
        <f t="shared" si="68"/>
        <v/>
      </c>
      <c r="E169" s="504"/>
      <c r="F169" s="504" t="str">
        <f t="shared" ref="F169:N169" si="83">IF( $D169 = "",  "",  IFERROR(IPMT($E119, F135, $E103, -$Q85, 0), 0))</f>
        <v/>
      </c>
      <c r="G169" s="129" t="str">
        <f t="shared" si="83"/>
        <v/>
      </c>
      <c r="H169" s="129" t="str">
        <f t="shared" si="83"/>
        <v/>
      </c>
      <c r="I169" s="129" t="str">
        <f t="shared" si="83"/>
        <v/>
      </c>
      <c r="J169" s="129" t="str">
        <f t="shared" si="83"/>
        <v/>
      </c>
      <c r="K169" s="129" t="str">
        <f t="shared" si="83"/>
        <v/>
      </c>
      <c r="L169" s="129" t="str">
        <f t="shared" si="83"/>
        <v/>
      </c>
      <c r="M169" s="129" t="str">
        <f t="shared" si="83"/>
        <v/>
      </c>
      <c r="N169" s="129" t="str">
        <f t="shared" si="83"/>
        <v/>
      </c>
      <c r="O169" s="129" t="str">
        <f t="shared" ref="O169" si="84">IF( $D169 = "",  "",  IFERROR(IPMT($E119, O135, $E103, -$Q85, 0), 0))</f>
        <v/>
      </c>
    </row>
    <row r="170" spans="3:15">
      <c r="D170" s="11" t="str">
        <f t="shared" si="68"/>
        <v/>
      </c>
      <c r="E170" s="503"/>
      <c r="F170" s="503" t="str">
        <f t="shared" ref="F170:N170" si="85">IF( $D170 = "",  "",  IFERROR(IPMT($E120, F136, $E104, -$Q86, 0), 0))</f>
        <v/>
      </c>
      <c r="G170" s="227" t="str">
        <f t="shared" si="85"/>
        <v/>
      </c>
      <c r="H170" s="227" t="str">
        <f t="shared" si="85"/>
        <v/>
      </c>
      <c r="I170" s="227" t="str">
        <f t="shared" si="85"/>
        <v/>
      </c>
      <c r="J170" s="227" t="str">
        <f t="shared" si="85"/>
        <v/>
      </c>
      <c r="K170" s="227" t="str">
        <f t="shared" si="85"/>
        <v/>
      </c>
      <c r="L170" s="227" t="str">
        <f t="shared" si="85"/>
        <v/>
      </c>
      <c r="M170" s="227" t="str">
        <f t="shared" si="85"/>
        <v/>
      </c>
      <c r="N170" s="227" t="str">
        <f t="shared" si="85"/>
        <v/>
      </c>
      <c r="O170" s="227" t="str">
        <f t="shared" ref="O170" si="86">IF( $D170 = "",  "",  IFERROR(IPMT($E120, O136, $E104, -$Q86, 0), 0))</f>
        <v/>
      </c>
    </row>
    <row r="171" spans="3:15">
      <c r="D171" s="8" t="str">
        <f t="shared" si="68"/>
        <v/>
      </c>
      <c r="E171" s="504"/>
      <c r="F171" s="504" t="str">
        <f t="shared" ref="F171:N171" si="87">IF( $D171 = "",  "",  IFERROR(IPMT($E121, F137, $E105, -$Q87, 0), 0))</f>
        <v/>
      </c>
      <c r="G171" s="129" t="str">
        <f t="shared" si="87"/>
        <v/>
      </c>
      <c r="H171" s="129" t="str">
        <f t="shared" si="87"/>
        <v/>
      </c>
      <c r="I171" s="129" t="str">
        <f t="shared" si="87"/>
        <v/>
      </c>
      <c r="J171" s="129" t="str">
        <f t="shared" si="87"/>
        <v/>
      </c>
      <c r="K171" s="129" t="str">
        <f t="shared" si="87"/>
        <v/>
      </c>
      <c r="L171" s="129" t="str">
        <f t="shared" si="87"/>
        <v/>
      </c>
      <c r="M171" s="129" t="str">
        <f t="shared" si="87"/>
        <v/>
      </c>
      <c r="N171" s="129" t="str">
        <f t="shared" si="87"/>
        <v/>
      </c>
      <c r="O171" s="129" t="str">
        <f t="shared" ref="O171" si="88">IF( $D171 = "",  "",  IFERROR(IPMT($E121, O137, $E105, -$Q87, 0), 0))</f>
        <v/>
      </c>
    </row>
    <row r="172" spans="3:15">
      <c r="D172" s="11" t="str">
        <f t="shared" si="68"/>
        <v/>
      </c>
      <c r="E172" s="503"/>
      <c r="F172" s="503" t="str">
        <f t="shared" ref="F172:N172" si="89">IF( $D172 = "",  "",  IFERROR(IPMT($E122, F138, $E106, -$Q88, 0), 0))</f>
        <v/>
      </c>
      <c r="G172" s="227" t="str">
        <f t="shared" si="89"/>
        <v/>
      </c>
      <c r="H172" s="227" t="str">
        <f t="shared" si="89"/>
        <v/>
      </c>
      <c r="I172" s="227" t="str">
        <f t="shared" si="89"/>
        <v/>
      </c>
      <c r="J172" s="227" t="str">
        <f t="shared" si="89"/>
        <v/>
      </c>
      <c r="K172" s="227" t="str">
        <f t="shared" si="89"/>
        <v/>
      </c>
      <c r="L172" s="227" t="str">
        <f t="shared" si="89"/>
        <v/>
      </c>
      <c r="M172" s="227" t="str">
        <f t="shared" si="89"/>
        <v/>
      </c>
      <c r="N172" s="227" t="str">
        <f t="shared" si="89"/>
        <v/>
      </c>
      <c r="O172" s="227" t="str">
        <f t="shared" ref="O172" si="90">IF( $D172 = "",  "",  IFERROR(IPMT($E122, O138, $E106, -$Q88, 0), 0))</f>
        <v/>
      </c>
    </row>
    <row r="173" spans="3:15">
      <c r="D173" s="8" t="str">
        <f t="shared" si="68"/>
        <v>Refinancing I</v>
      </c>
      <c r="E173" s="504"/>
      <c r="F173" s="504">
        <f t="shared" ref="F173:N173" si="91">IF( $D173 = "",  "",  IFERROR(IPMT($E123, F139, $E107, -$Q89, 0), 0))</f>
        <v>0</v>
      </c>
      <c r="G173" s="129">
        <f t="shared" si="91"/>
        <v>0</v>
      </c>
      <c r="H173" s="129">
        <f t="shared" si="91"/>
        <v>0</v>
      </c>
      <c r="I173" s="129">
        <f t="shared" si="91"/>
        <v>0</v>
      </c>
      <c r="J173" s="129">
        <f t="shared" si="91"/>
        <v>7.9999999999999991</v>
      </c>
      <c r="K173" s="129">
        <f t="shared" si="91"/>
        <v>7.7053636405118393</v>
      </c>
      <c r="L173" s="129">
        <f t="shared" si="91"/>
        <v>7.3871563722646263</v>
      </c>
      <c r="M173" s="129">
        <f t="shared" si="91"/>
        <v>7.0434925225576368</v>
      </c>
      <c r="N173" s="129">
        <f t="shared" si="91"/>
        <v>6.6723355648740874</v>
      </c>
      <c r="O173" s="129">
        <f t="shared" ref="O173" si="92">IF( $D173 = "",  "",  IFERROR(IPMT($E123, O139, $E107, -$Q89, 0), 0))</f>
        <v>6.2714860505758532</v>
      </c>
    </row>
    <row r="174" spans="3:15">
      <c r="D174" s="11" t="str">
        <f t="shared" si="68"/>
        <v/>
      </c>
      <c r="E174" s="503"/>
      <c r="F174" s="503" t="str">
        <f t="shared" ref="F174:N174" si="93">IF( $D174 = "",  "",  IFERROR(IPMT($E124, F140, $E108, -$Q90, 0), 0))</f>
        <v/>
      </c>
      <c r="G174" s="227" t="str">
        <f t="shared" si="93"/>
        <v/>
      </c>
      <c r="H174" s="227" t="str">
        <f t="shared" si="93"/>
        <v/>
      </c>
      <c r="I174" s="227" t="str">
        <f t="shared" si="93"/>
        <v/>
      </c>
      <c r="J174" s="227" t="str">
        <f t="shared" si="93"/>
        <v/>
      </c>
      <c r="K174" s="227" t="str">
        <f t="shared" si="93"/>
        <v/>
      </c>
      <c r="L174" s="227" t="str">
        <f t="shared" si="93"/>
        <v/>
      </c>
      <c r="M174" s="227" t="str">
        <f t="shared" si="93"/>
        <v/>
      </c>
      <c r="N174" s="227" t="str">
        <f t="shared" si="93"/>
        <v/>
      </c>
      <c r="O174" s="227" t="str">
        <f t="shared" ref="O174" si="94">IF( $D174 = "",  "",  IFERROR(IPMT($E124, O140, $E108, -$Q90, 0), 0))</f>
        <v/>
      </c>
    </row>
    <row r="175" spans="3:15">
      <c r="D175" s="8" t="str">
        <f t="shared" si="68"/>
        <v>Existing Debt</v>
      </c>
      <c r="E175" s="504"/>
      <c r="F175" s="504">
        <f t="shared" ref="F175:N175" si="95">IF( $D175 = "",  "",  IFERROR(IPMT($E125, F141, $E109, -$Q91, 0), 0))</f>
        <v>0</v>
      </c>
      <c r="G175" s="129">
        <v>1</v>
      </c>
      <c r="H175" s="129">
        <v>0.5</v>
      </c>
      <c r="I175" s="129">
        <v>0.3</v>
      </c>
      <c r="J175" s="129">
        <v>0.1</v>
      </c>
      <c r="K175" s="129">
        <v>0.1</v>
      </c>
      <c r="L175" s="129">
        <f t="shared" si="95"/>
        <v>0</v>
      </c>
      <c r="M175" s="129">
        <f t="shared" si="95"/>
        <v>0</v>
      </c>
      <c r="N175" s="129">
        <f t="shared" si="95"/>
        <v>0</v>
      </c>
      <c r="O175" s="129">
        <f t="shared" ref="O175" si="96">IF( $D175 = "",  "",  IFERROR(IPMT($E125, O141, $E109, -$Q91, 0), 0))</f>
        <v>0</v>
      </c>
    </row>
    <row r="176" spans="3:15">
      <c r="C176" s="100" t="s">
        <v>357</v>
      </c>
      <c r="E176" s="206">
        <f>SUM(E162:E175)</f>
        <v>0</v>
      </c>
      <c r="F176" s="206">
        <f t="shared" ref="F176" si="97">SUM(F162:F175)</f>
        <v>0</v>
      </c>
      <c r="G176" s="206">
        <f t="shared" ref="G176" si="98">SUM(G162:G175)</f>
        <v>8.2199999999999989</v>
      </c>
      <c r="H176" s="206">
        <f t="shared" ref="H176" si="99">SUM(H162:H175)</f>
        <v>7.5047702316607694</v>
      </c>
      <c r="I176" s="206">
        <f t="shared" ref="I176" si="100">SUM(I162:I175)</f>
        <v>6.8215917968432516</v>
      </c>
      <c r="J176" s="206">
        <f t="shared" ref="J176" si="101">SUM(J162:J175)</f>
        <v>13.844349464346246</v>
      </c>
      <c r="K176" s="206">
        <f t="shared" ref="K176" si="102">SUM(K162:K175)</f>
        <v>10.235053571880695</v>
      </c>
      <c r="L176" s="206">
        <f t="shared" ref="L176" si="103">SUM(L162:L175)</f>
        <v>8.7408278927966396</v>
      </c>
      <c r="M176" s="206">
        <f t="shared" ref="M176" si="104">SUM(M162:M175)</f>
        <v>7.7411387527586157</v>
      </c>
      <c r="N176" s="206">
        <f t="shared" ref="N176:O176" si="105">SUM(N162:N175)</f>
        <v>6.9121514565056739</v>
      </c>
      <c r="O176" s="206">
        <f t="shared" si="105"/>
        <v>6.2714860505758532</v>
      </c>
    </row>
    <row r="177" spans="3:15" ht="4.5" customHeight="1">
      <c r="E177" s="14"/>
      <c r="F177" s="14"/>
      <c r="G177" s="14"/>
      <c r="H177" s="14"/>
      <c r="I177" s="14"/>
      <c r="J177" s="14"/>
      <c r="K177" s="14"/>
      <c r="L177" s="14"/>
      <c r="M177" s="14"/>
      <c r="N177" s="14"/>
      <c r="O177" s="14"/>
    </row>
    <row r="178" spans="3:15">
      <c r="C178" s="100" t="s">
        <v>358</v>
      </c>
      <c r="E178" s="129"/>
      <c r="F178" s="129"/>
      <c r="G178" s="129"/>
      <c r="H178" s="129"/>
      <c r="I178" s="129"/>
      <c r="J178" s="129"/>
      <c r="K178" s="129"/>
      <c r="L178" s="129"/>
      <c r="M178" s="129"/>
      <c r="N178" s="129"/>
      <c r="O178" s="129"/>
    </row>
    <row r="179" spans="3:15">
      <c r="D179" s="11" t="str">
        <f>IF(ISBLANK(D162), "", D162)</f>
        <v>Z1000 External</v>
      </c>
      <c r="E179" s="503"/>
      <c r="F179" s="503">
        <f>IF(OR(F144 = 0, F144 = "" ), 0, IFERROR($Q78 - SUM($F144:F144), 0))</f>
        <v>0</v>
      </c>
      <c r="G179" s="227">
        <f>IF(OR(G144 = 0, G144 = "" ), 0, IFERROR($Q78 - SUM($F144:G144), 0))</f>
        <v>13.481444288943218</v>
      </c>
      <c r="H179" s="227">
        <f>IF(OR(H144 = 0, H144 = "" ), 0, IFERROR($Q78 - SUM($F144:H144), 0))</f>
        <v>10.660661892559622</v>
      </c>
      <c r="I179" s="227">
        <f>IF(OR(I144 = 0, I144 = "" ), 0, IFERROR($Q78 - SUM($F144:I144), 0))</f>
        <v>7.5013856086099935</v>
      </c>
      <c r="J179" s="227">
        <f>IF(OR(J144 = 0, J144 = "" ), 0, IFERROR($Q78 - SUM($F144:J144), 0))</f>
        <v>3.9629961705864112</v>
      </c>
      <c r="K179" s="227">
        <f>IF(OR(K144 = 0, K144 = "" ), 0, IFERROR($Q78 - SUM($F144:K144), 0))</f>
        <v>0</v>
      </c>
      <c r="L179" s="227">
        <f>IF(OR(L144 = 0, L144 = "" ), 0, IFERROR($Q78 - SUM($F144:L144), 0))</f>
        <v>0</v>
      </c>
      <c r="M179" s="227">
        <f>IF(OR(M144 = 0, M144 = "" ), 0, IFERROR($Q78 - SUM($F144:M144), 0))</f>
        <v>0</v>
      </c>
      <c r="N179" s="227">
        <f>IF(OR(N144 = 0, N144 = "" ), 0, IFERROR($Q78 - SUM($F144:N144), 0))</f>
        <v>0</v>
      </c>
      <c r="O179" s="227">
        <f>IF(OR(O144 = 0, O144 = "" ), 0, IFERROR($Q78 - SUM($F144:O144), 0))</f>
        <v>0</v>
      </c>
    </row>
    <row r="180" spans="3:15">
      <c r="D180" s="8" t="str">
        <f t="shared" ref="D180:D192" si="106">IF(ISBLANK(D163), "", D163)</f>
        <v>Z1000 Olon</v>
      </c>
      <c r="E180" s="504"/>
      <c r="F180" s="504">
        <f>IF(OR(F145 = 0, F145 = "" ), 0, IFERROR($Q79 - SUM($F145:F145), 0))</f>
        <v>0</v>
      </c>
      <c r="G180" s="129">
        <f>IF(OR(G145 = 0, G145 = "" ), 0, IFERROR($Q79 - SUM($F145:G145), 0))</f>
        <v>45.24319797628457</v>
      </c>
      <c r="H180" s="129">
        <f>IF(OR(H145 = 0, H145 = "" ), 0, IFERROR($Q79 - SUM($F145:H145), 0))</f>
        <v>34.900987831146217</v>
      </c>
      <c r="I180" s="129">
        <f>IF(OR(I145 = 0, I145 = "" ), 0, IFERROR($Q79 - SUM($F145:I145), 0))</f>
        <v>23.938245077299563</v>
      </c>
      <c r="J180" s="129">
        <f>IF(OR(J145 = 0, J145 = "" ), 0, IFERROR($Q79 - SUM($F145:J145), 0))</f>
        <v>12.317737758222108</v>
      </c>
      <c r="K180" s="129">
        <f>IF(OR(K145 = 0, K145 = "" ), 0, IFERROR($Q79 - SUM($F145:K145), 0))</f>
        <v>0</v>
      </c>
      <c r="L180" s="129">
        <f>IF(OR(L145 = 0, L145 = "" ), 0, IFERROR($Q79 - SUM($F145:L145), 0))</f>
        <v>0</v>
      </c>
      <c r="M180" s="129">
        <f>IF(OR(M145 = 0, M145 = "" ), 0, IFERROR($Q79 - SUM($F145:M145), 0))</f>
        <v>0</v>
      </c>
      <c r="N180" s="129">
        <f>IF(OR(N145 = 0, N145 = "" ), 0, IFERROR($Q79 - SUM($F145:N145), 0))</f>
        <v>0</v>
      </c>
      <c r="O180" s="129">
        <f>IF(OR(O145 = 0, O145 = "" ), 0, IFERROR($Q79 - SUM($F145:O145), 0))</f>
        <v>0</v>
      </c>
    </row>
    <row r="181" spans="3:15">
      <c r="D181" s="11" t="str">
        <f t="shared" si="106"/>
        <v>SLC Financing</v>
      </c>
      <c r="E181" s="503"/>
      <c r="F181" s="503">
        <f>IF(OR(F146 = 0, F146 = "" ), 0, IFERROR($Q80 - SUM($F146:F146), 0))</f>
        <v>0</v>
      </c>
      <c r="G181" s="227">
        <f>IF(OR(G146 = 0, G146 = "" ), 0, IFERROR($Q80 - SUM($F146:G146), 0))</f>
        <v>16.724050384105091</v>
      </c>
      <c r="H181" s="227">
        <f>IF(OR(H146 = 0, H146 = "" ), 0, IFERROR($Q80 - SUM($F146:H146), 0))</f>
        <v>13.120505806620693</v>
      </c>
      <c r="I181" s="227">
        <f>IF(OR(I146 = 0, I146 = "" ), 0, IFERROR($Q80 - SUM($F146:I146), 0))</f>
        <v>9.1566067713878549</v>
      </c>
      <c r="J181" s="227">
        <f>IF(OR(J146 = 0, J146 = "" ), 0, IFERROR($Q80 - SUM($F146:J146), 0))</f>
        <v>4.7963178326317326</v>
      </c>
      <c r="K181" s="227">
        <f>IF(OR(K146 = 0, K146 = "" ), 0, IFERROR($Q80 - SUM($F146:K146), 0))</f>
        <v>0</v>
      </c>
      <c r="L181" s="227">
        <f>IF(OR(L146 = 0, L146 = "" ), 0, IFERROR($Q80 - SUM($F146:L146), 0))</f>
        <v>0</v>
      </c>
      <c r="M181" s="227">
        <f>IF(OR(M146 = 0, M146 = "" ), 0, IFERROR($Q80 - SUM($F146:M146), 0))</f>
        <v>0</v>
      </c>
      <c r="N181" s="227">
        <f>IF(OR(N146 = 0, N146 = "" ), 0, IFERROR($Q80 - SUM($F146:N146), 0))</f>
        <v>0</v>
      </c>
      <c r="O181" s="227">
        <f>IF(OR(O146 = 0, O146 = "" ), 0, IFERROR($Q80 - SUM($F146:O146), 0))</f>
        <v>0</v>
      </c>
    </row>
    <row r="182" spans="3:15">
      <c r="D182" s="8" t="str">
        <f t="shared" si="106"/>
        <v>Nth Bio I</v>
      </c>
      <c r="E182" s="504"/>
      <c r="F182" s="504">
        <f>IF(OR(F147 = 0, F147 = "" ), 0, IFERROR($Q81 - SUM($F147:F147), 0))</f>
        <v>0</v>
      </c>
      <c r="G182" s="129">
        <f>IF(OR(G147 = 0, G147 = "" ), 0, IFERROR($Q81 - SUM($F147:G147), 0))</f>
        <v>0</v>
      </c>
      <c r="H182" s="129">
        <f>IF(OR(H147 = 0, H147 = "" ), 0, IFERROR($Q81 - SUM($F147:H147), 0))</f>
        <v>8.3620251920525455</v>
      </c>
      <c r="I182" s="129">
        <f>IF(OR(I147 = 0, I147 = "" ), 0, IFERROR($Q81 - SUM($F147:I147), 0))</f>
        <v>6.5602529033103467</v>
      </c>
      <c r="J182" s="129">
        <f>IF(OR(J147 = 0, J147 = "" ), 0, IFERROR($Q81 - SUM($F147:J147), 0))</f>
        <v>4.5783033856939275</v>
      </c>
      <c r="K182" s="129">
        <f>IF(OR(K147 = 0, K147 = "" ), 0, IFERROR($Q81 - SUM($F147:K147), 0))</f>
        <v>2.3981589163158663</v>
      </c>
      <c r="L182" s="129">
        <f>IF(OR(L147 = 0, L147 = "" ), 0, IFERROR($Q81 - SUM($F147:L147), 0))</f>
        <v>0</v>
      </c>
      <c r="M182" s="129">
        <f>IF(OR(M147 = 0, M147 = "" ), 0, IFERROR($Q81 - SUM($F147:M147), 0))</f>
        <v>0</v>
      </c>
      <c r="N182" s="129">
        <f>IF(OR(N147 = 0, N147 = "" ), 0, IFERROR($Q81 - SUM($F147:N147), 0))</f>
        <v>0</v>
      </c>
      <c r="O182" s="129">
        <f>IF(OR(O147 = 0, O147 = "" ), 0, IFERROR($Q81 - SUM($F147:O147), 0))</f>
        <v>0</v>
      </c>
    </row>
    <row r="183" spans="3:15">
      <c r="D183" s="11" t="str">
        <f t="shared" si="106"/>
        <v>Nth Bio II</v>
      </c>
      <c r="E183" s="503"/>
      <c r="F183" s="503">
        <f>IF(OR(F148 = 0, F148 = "" ), 0, IFERROR($Q82 - SUM($F148:F148), 0))</f>
        <v>0</v>
      </c>
      <c r="G183" s="227">
        <f>IF(OR(G148 = 0, G148 = "" ), 0, IFERROR($Q82 - SUM($F148:G148), 0))</f>
        <v>0</v>
      </c>
      <c r="H183" s="227">
        <f>IF(OR(H148 = 0, H148 = "" ), 0, IFERROR($Q82 - SUM($F148:H148), 0))</f>
        <v>0</v>
      </c>
      <c r="I183" s="227">
        <f>IF(OR(I148 = 0, I148 = "" ), 0, IFERROR($Q82 - SUM($F148:I148), 0))</f>
        <v>8.3620251920525455</v>
      </c>
      <c r="J183" s="227">
        <f>IF(OR(J148 = 0, J148 = "" ), 0, IFERROR($Q82 - SUM($F148:J148), 0))</f>
        <v>6.5602529033103467</v>
      </c>
      <c r="K183" s="227">
        <f>IF(OR(K148 = 0, K148 = "" ), 0, IFERROR($Q82 - SUM($F148:K148), 0))</f>
        <v>4.5783033856939275</v>
      </c>
      <c r="L183" s="227">
        <f>IF(OR(L148 = 0, L148 = "" ), 0, IFERROR($Q82 - SUM($F148:L148), 0))</f>
        <v>2.3981589163158663</v>
      </c>
      <c r="M183" s="227">
        <f>IF(OR(M148 = 0, M148 = "" ), 0, IFERROR($Q82 - SUM($F148:M148), 0))</f>
        <v>0</v>
      </c>
      <c r="N183" s="227">
        <f>IF(OR(N148 = 0, N148 = "" ), 0, IFERROR($Q82 - SUM($F148:N148), 0))</f>
        <v>0</v>
      </c>
      <c r="O183" s="227">
        <f>IF(OR(O148 = 0, O148 = "" ), 0, IFERROR($Q82 - SUM($F148:O148), 0))</f>
        <v>0</v>
      </c>
    </row>
    <row r="184" spans="3:15">
      <c r="D184" s="8" t="str">
        <f t="shared" si="106"/>
        <v>Nth Bio III</v>
      </c>
      <c r="E184" s="504"/>
      <c r="F184" s="504">
        <f>IF(OR(F149 = 0, F149 = "" ), 0, IFERROR($Q83 - SUM($F149:F149), 0))</f>
        <v>0</v>
      </c>
      <c r="G184" s="129">
        <f>IF(OR(G149 = 0, G149 = "" ), 0, IFERROR($Q83 - SUM($F149:G149), 0))</f>
        <v>0</v>
      </c>
      <c r="H184" s="129">
        <f>IF(OR(H149 = 0, H149 = "" ), 0, IFERROR($Q83 - SUM($F149:H149), 0))</f>
        <v>0</v>
      </c>
      <c r="I184" s="129">
        <f>IF(OR(I149 = 0, I149 = "" ), 0, IFERROR($Q83 - SUM($F149:I149), 0))</f>
        <v>0</v>
      </c>
      <c r="J184" s="129">
        <f>IF(OR(J149 = 0, J149 = "" ), 0, IFERROR($Q83 - SUM($F149:J149), 0))</f>
        <v>8.3620251920525455</v>
      </c>
      <c r="K184" s="129">
        <f>IF(OR(K149 = 0, K149 = "" ), 0, IFERROR($Q83 - SUM($F149:K149), 0))</f>
        <v>6.5602529033103467</v>
      </c>
      <c r="L184" s="129">
        <f>IF(OR(L149 = 0, L149 = "" ), 0, IFERROR($Q83 - SUM($F149:L149), 0))</f>
        <v>4.5783033856939275</v>
      </c>
      <c r="M184" s="129">
        <f>IF(OR(M149 = 0, M149 = "" ), 0, IFERROR($Q83 - SUM($F149:M149), 0))</f>
        <v>2.3981589163158663</v>
      </c>
      <c r="N184" s="129">
        <f>IF(OR(N149 = 0, N149 = "" ), 0, IFERROR($Q83 - SUM($F149:N149), 0))</f>
        <v>0</v>
      </c>
      <c r="O184" s="129">
        <f>IF(OR(O149 = 0, O149 = "" ), 0, IFERROR($Q83 - SUM($F149:O149), 0))</f>
        <v>0</v>
      </c>
    </row>
    <row r="185" spans="3:15">
      <c r="D185" s="11" t="str">
        <f t="shared" si="106"/>
        <v/>
      </c>
      <c r="E185" s="503"/>
      <c r="F185" s="503">
        <f>IF(OR(F150 = 0, F150 = "" ), 0, IFERROR($Q84 - SUM($F150:F150), 0))</f>
        <v>0</v>
      </c>
      <c r="G185" s="227">
        <f>IF(OR(G150 = 0, G150 = "" ), 0, IFERROR($Q84 - SUM($F150:G150), 0))</f>
        <v>0</v>
      </c>
      <c r="H185" s="227">
        <f>IF(OR(H150 = 0, H150 = "" ), 0, IFERROR($Q84 - SUM($F150:H150), 0))</f>
        <v>0</v>
      </c>
      <c r="I185" s="227">
        <f>IF(OR(I150 = 0, I150 = "" ), 0, IFERROR($Q84 - SUM($F150:I150), 0))</f>
        <v>0</v>
      </c>
      <c r="J185" s="227">
        <f>IF(OR(J150 = 0, J150 = "" ), 0, IFERROR($Q84 - SUM($F150:J150), 0))</f>
        <v>0</v>
      </c>
      <c r="K185" s="227">
        <f>IF(OR(K150 = 0, K150 = "" ), 0, IFERROR($Q84 - SUM($F150:K150), 0))</f>
        <v>0</v>
      </c>
      <c r="L185" s="227">
        <f>IF(OR(L150 = 0, L150 = "" ), 0, IFERROR($Q84 - SUM($F150:L150), 0))</f>
        <v>0</v>
      </c>
      <c r="M185" s="227">
        <f>IF(OR(M150 = 0, M150 = "" ), 0, IFERROR($Q84 - SUM($F150:M150), 0))</f>
        <v>0</v>
      </c>
      <c r="N185" s="227">
        <f>IF(OR(N150 = 0, N150 = "" ), 0, IFERROR($Q84 - SUM($F150:N150), 0))</f>
        <v>0</v>
      </c>
      <c r="O185" s="227">
        <f>IF(OR(O150 = 0, O150 = "" ), 0, IFERROR($Q84 - SUM($F150:O150), 0))</f>
        <v>0</v>
      </c>
    </row>
    <row r="186" spans="3:15">
      <c r="D186" s="8" t="str">
        <f t="shared" si="106"/>
        <v/>
      </c>
      <c r="E186" s="504"/>
      <c r="F186" s="504">
        <f>IF(OR(F151 = 0, F151 = "" ), 0, IFERROR($Q85 - SUM($F151:F151), 0))</f>
        <v>0</v>
      </c>
      <c r="G186" s="129">
        <f>IF(OR(G151 = 0, G151 = "" ), 0, IFERROR($Q85 - SUM($F151:G151), 0))</f>
        <v>0</v>
      </c>
      <c r="H186" s="129">
        <f>IF(OR(H151 = 0, H151 = "" ), 0, IFERROR($Q85 - SUM($F151:H151), 0))</f>
        <v>0</v>
      </c>
      <c r="I186" s="129">
        <f>IF(OR(I151 = 0, I151 = "" ), 0, IFERROR($Q85 - SUM($F151:I151), 0))</f>
        <v>0</v>
      </c>
      <c r="J186" s="129">
        <f>IF(OR(J151 = 0, J151 = "" ), 0, IFERROR($Q85 - SUM($F151:J151), 0))</f>
        <v>0</v>
      </c>
      <c r="K186" s="129">
        <f>IF(OR(K151 = 0, K151 = "" ), 0, IFERROR($Q85 - SUM($F151:K151), 0))</f>
        <v>0</v>
      </c>
      <c r="L186" s="129">
        <f>IF(OR(L151 = 0, L151 = "" ), 0, IFERROR($Q85 - SUM($F151:L151), 0))</f>
        <v>0</v>
      </c>
      <c r="M186" s="129">
        <f>IF(OR(M151 = 0, M151 = "" ), 0, IFERROR($Q85 - SUM($F151:M151), 0))</f>
        <v>0</v>
      </c>
      <c r="N186" s="129">
        <f>IF(OR(N151 = 0, N151 = "" ), 0, IFERROR($Q85 - SUM($F151:N151), 0))</f>
        <v>0</v>
      </c>
      <c r="O186" s="129">
        <f>IF(OR(O151 = 0, O151 = "" ), 0, IFERROR($Q85 - SUM($F151:O151), 0))</f>
        <v>0</v>
      </c>
    </row>
    <row r="187" spans="3:15">
      <c r="D187" s="11" t="str">
        <f t="shared" si="106"/>
        <v/>
      </c>
      <c r="E187" s="503"/>
      <c r="F187" s="503">
        <f>IF(OR(F152 = 0, F152 = "" ), 0, IFERROR($Q86 - SUM($F152:F152), 0))</f>
        <v>0</v>
      </c>
      <c r="G187" s="227">
        <f>IF(OR(G152 = 0, G152 = "" ), 0, IFERROR($Q86 - SUM($F152:G152), 0))</f>
        <v>0</v>
      </c>
      <c r="H187" s="227">
        <f>IF(OR(H152 = 0, H152 = "" ), 0, IFERROR($Q86 - SUM($F152:H152), 0))</f>
        <v>0</v>
      </c>
      <c r="I187" s="227">
        <f>IF(OR(I152 = 0, I152 = "" ), 0, IFERROR($Q86 - SUM($F152:I152), 0))</f>
        <v>0</v>
      </c>
      <c r="J187" s="227">
        <f>IF(OR(J152 = 0, J152 = "" ), 0, IFERROR($Q86 - SUM($F152:J152), 0))</f>
        <v>0</v>
      </c>
      <c r="K187" s="227">
        <f>IF(OR(K152 = 0, K152 = "" ), 0, IFERROR($Q86 - SUM($F152:K152), 0))</f>
        <v>0</v>
      </c>
      <c r="L187" s="227">
        <f>IF(OR(L152 = 0, L152 = "" ), 0, IFERROR($Q86 - SUM($F152:L152), 0))</f>
        <v>0</v>
      </c>
      <c r="M187" s="227">
        <f>IF(OR(M152 = 0, M152 = "" ), 0, IFERROR($Q86 - SUM($F152:M152), 0))</f>
        <v>0</v>
      </c>
      <c r="N187" s="227">
        <f>IF(OR(N152 = 0, N152 = "" ), 0, IFERROR($Q86 - SUM($F152:N152), 0))</f>
        <v>0</v>
      </c>
      <c r="O187" s="227">
        <f>IF(OR(O152 = 0, O152 = "" ), 0, IFERROR($Q86 - SUM($F152:O152), 0))</f>
        <v>0</v>
      </c>
    </row>
    <row r="188" spans="3:15">
      <c r="D188" s="8" t="str">
        <f t="shared" si="106"/>
        <v/>
      </c>
      <c r="E188" s="504"/>
      <c r="F188" s="504">
        <f>IF(OR(F153 = 0, F153 = "" ), 0, IFERROR($Q87 - SUM($F153:F153), 0))</f>
        <v>0</v>
      </c>
      <c r="G188" s="129">
        <f>IF(OR(G153 = 0, G153 = "" ), 0, IFERROR($Q87 - SUM($F153:G153), 0))</f>
        <v>0</v>
      </c>
      <c r="H188" s="129">
        <f>IF(OR(H153 = 0, H153 = "" ), 0, IFERROR($Q87 - SUM($F153:H153), 0))</f>
        <v>0</v>
      </c>
      <c r="I188" s="129">
        <f>IF(OR(I153 = 0, I153 = "" ), 0, IFERROR($Q87 - SUM($F153:I153), 0))</f>
        <v>0</v>
      </c>
      <c r="J188" s="129">
        <f>IF(OR(J153 = 0, J153 = "" ), 0, IFERROR($Q87 - SUM($F153:J153), 0))</f>
        <v>0</v>
      </c>
      <c r="K188" s="129">
        <f>IF(OR(K153 = 0, K153 = "" ), 0, IFERROR($Q87 - SUM($F153:K153), 0))</f>
        <v>0</v>
      </c>
      <c r="L188" s="129">
        <f>IF(OR(L153 = 0, L153 = "" ), 0, IFERROR($Q87 - SUM($F153:L153), 0))</f>
        <v>0</v>
      </c>
      <c r="M188" s="129">
        <f>IF(OR(M153 = 0, M153 = "" ), 0, IFERROR($Q87 - SUM($F153:M153), 0))</f>
        <v>0</v>
      </c>
      <c r="N188" s="129">
        <f>IF(OR(N153 = 0, N153 = "" ), 0, IFERROR($Q87 - SUM($F153:N153), 0))</f>
        <v>0</v>
      </c>
      <c r="O188" s="129">
        <f>IF(OR(O153 = 0, O153 = "" ), 0, IFERROR($Q87 - SUM($F153:O153), 0))</f>
        <v>0</v>
      </c>
    </row>
    <row r="189" spans="3:15">
      <c r="D189" s="11" t="str">
        <f t="shared" si="106"/>
        <v/>
      </c>
      <c r="E189" s="503"/>
      <c r="F189" s="503">
        <f>IF(OR(F154 = 0, F154 = "" ), 0, IFERROR($Q88 - SUM($F154:F154), 0))</f>
        <v>0</v>
      </c>
      <c r="G189" s="227">
        <f>IF(OR(G154 = 0, G154 = "" ), 0, IFERROR($Q88 - SUM($F154:G154), 0))</f>
        <v>0</v>
      </c>
      <c r="H189" s="227">
        <f>IF(OR(H154 = 0, H154 = "" ), 0, IFERROR($Q88 - SUM($F154:H154), 0))</f>
        <v>0</v>
      </c>
      <c r="I189" s="227">
        <f>IF(OR(I154 = 0, I154 = "" ), 0, IFERROR($Q88 - SUM($F154:I154), 0))</f>
        <v>0</v>
      </c>
      <c r="J189" s="227">
        <f>IF(OR(J154 = 0, J154 = "" ), 0, IFERROR($Q88 - SUM($F154:J154), 0))</f>
        <v>0</v>
      </c>
      <c r="K189" s="227">
        <f>IF(OR(K154 = 0, K154 = "" ), 0, IFERROR($Q88 - SUM($F154:K154), 0))</f>
        <v>0</v>
      </c>
      <c r="L189" s="227">
        <f>IF(OR(L154 = 0, L154 = "" ), 0, IFERROR($Q88 - SUM($F154:L154), 0))</f>
        <v>0</v>
      </c>
      <c r="M189" s="227">
        <f>IF(OR(M154 = 0, M154 = "" ), 0, IFERROR($Q88 - SUM($F154:M154), 0))</f>
        <v>0</v>
      </c>
      <c r="N189" s="227">
        <f>IF(OR(N154 = 0, N154 = "" ), 0, IFERROR($Q88 - SUM($F154:N154), 0))</f>
        <v>0</v>
      </c>
      <c r="O189" s="227">
        <f>IF(OR(O154 = 0, O154 = "" ), 0, IFERROR($Q88 - SUM($F154:O154), 0))</f>
        <v>0</v>
      </c>
    </row>
    <row r="190" spans="3:15">
      <c r="D190" s="8" t="str">
        <f t="shared" si="106"/>
        <v>Refinancing I</v>
      </c>
      <c r="E190" s="504"/>
      <c r="F190" s="504">
        <f>IF(OR(F155 = 0, F155 = "" ), 0, IFERROR($Q89 - SUM($F155:F155), 0))</f>
        <v>0</v>
      </c>
      <c r="G190" s="129">
        <f>IF(OR(G155 = 0, G155 = "" ), 0, IFERROR($Q89 - SUM($F155:G155), 0))</f>
        <v>0</v>
      </c>
      <c r="H190" s="129">
        <f>IF(OR(H155 = 0, H155 = "" ), 0, IFERROR($Q89 - SUM($F155:H155), 0))</f>
        <v>0</v>
      </c>
      <c r="I190" s="129">
        <f>IF(OR(I155 = 0, I155 = "" ), 0, IFERROR($Q89 - SUM($F155:I155), 0))</f>
        <v>0</v>
      </c>
      <c r="J190" s="129">
        <f>IF(OR(J155 = 0, J155 = "" ), 0, IFERROR($Q89 - SUM($F155:J155), 0))</f>
        <v>96.317045506397989</v>
      </c>
      <c r="K190" s="129">
        <f>IF(OR(K155 = 0, K155 = "" ), 0, IFERROR($Q89 - SUM($F155:K155), 0))</f>
        <v>92.339454653307826</v>
      </c>
      <c r="L190" s="129">
        <f>IF(OR(L155 = 0, L155 = "" ), 0, IFERROR($Q89 - SUM($F155:L155), 0))</f>
        <v>88.043656531970456</v>
      </c>
      <c r="M190" s="129">
        <f>IF(OR(M155 = 0, M155 = "" ), 0, IFERROR($Q89 - SUM($F155:M155), 0))</f>
        <v>83.404194560926086</v>
      </c>
      <c r="N190" s="129">
        <f>IF(OR(N155 = 0, N155 = "" ), 0, IFERROR($Q89 - SUM($F155:N155), 0))</f>
        <v>78.393575632198178</v>
      </c>
      <c r="O190" s="129">
        <f>IF(OR(O155 = 0, O155 = "" ), 0, IFERROR($Q89 - SUM($F155:O155), 0))</f>
        <v>72.982107189172012</v>
      </c>
    </row>
    <row r="191" spans="3:15">
      <c r="D191" s="11" t="str">
        <f t="shared" si="106"/>
        <v/>
      </c>
      <c r="E191" s="503"/>
      <c r="F191" s="503">
        <f>IF(OR(F156 = 0, F156 = "" ), 0, IFERROR($Q90 - SUM($F156:F156), 0))</f>
        <v>0</v>
      </c>
      <c r="G191" s="227">
        <f>IF(OR(G156 = 0, G156 = "" ), 0, IFERROR($Q90 - SUM($F156:G156), 0))</f>
        <v>0</v>
      </c>
      <c r="H191" s="227">
        <f>IF(OR(H156 = 0, H156 = "" ), 0, IFERROR($Q90 - SUM($F156:H156), 0))</f>
        <v>0</v>
      </c>
      <c r="I191" s="227">
        <f>IF(OR(I156 = 0, I156 = "" ), 0, IFERROR($Q90 - SUM($F156:I156), 0))</f>
        <v>0</v>
      </c>
      <c r="J191" s="227">
        <f>IF(OR(J156 = 0, J156 = "" ), 0, IFERROR($Q90 - SUM($F156:J156), 0))</f>
        <v>0</v>
      </c>
      <c r="K191" s="227">
        <f>IF(OR(K156 = 0, K156 = "" ), 0, IFERROR($Q90 - SUM($F156:K156), 0))</f>
        <v>0</v>
      </c>
      <c r="L191" s="227">
        <f>IF(OR(L156 = 0, L156 = "" ), 0, IFERROR($Q90 - SUM($F156:L156), 0))</f>
        <v>0</v>
      </c>
      <c r="M191" s="227">
        <f>IF(OR(M156 = 0, M156 = "" ), 0, IFERROR($Q90 - SUM($F156:M156), 0))</f>
        <v>0</v>
      </c>
      <c r="N191" s="227">
        <f>IF(OR(N156 = 0, N156 = "" ), 0, IFERROR($Q90 - SUM($F156:N156), 0))</f>
        <v>0</v>
      </c>
      <c r="O191" s="227">
        <f>IF(OR(O156 = 0, O156 = "" ), 0, IFERROR($Q90 - SUM($F156:O156), 0))</f>
        <v>0</v>
      </c>
    </row>
    <row r="192" spans="3:15">
      <c r="D192" s="8" t="str">
        <f t="shared" si="106"/>
        <v>Existing Debt</v>
      </c>
      <c r="E192" s="504"/>
      <c r="F192" s="504">
        <f>IF(OR(F157 = 0, F157 = "" ), 0, IFERROR($Q91 - SUM($F157:F157), 0))</f>
        <v>0</v>
      </c>
      <c r="G192" s="129">
        <f>IF(OR(G157 = 0, G157 = "" ), 0, IFERROR($Q91 - SUM($F157:G157), 0))</f>
        <v>-12.4</v>
      </c>
      <c r="H192" s="129">
        <f>IF(OR(H157 = 0, H157 = "" ), 0, IFERROR($Q91 - SUM($F157:H157), 0))</f>
        <v>-16.8</v>
      </c>
      <c r="I192" s="129">
        <f>IF(OR(I157 = 0, I157 = "" ), 0, IFERROR($Q91 - SUM($F157:I157), 0))</f>
        <v>-19.3</v>
      </c>
      <c r="J192" s="129">
        <f>IF(OR(J157 = 0, J157 = "" ), 0, IFERROR($Q91 - SUM($F157:J157), 0))</f>
        <v>-21.7</v>
      </c>
      <c r="K192" s="129">
        <f>IF(OR(K157 = 0, K157 = "" ), 0, IFERROR($Q91 - SUM($F157:K157), 0))</f>
        <v>-24.099999999999998</v>
      </c>
      <c r="L192" s="129">
        <f>IF(OR(L157 = 0, L157 = "" ), 0, IFERROR($Q91 - SUM($F157:L157), 0))</f>
        <v>0</v>
      </c>
      <c r="M192" s="129">
        <f>IF(OR(M157 = 0, M157 = "" ), 0, IFERROR($Q91 - SUM($F157:M157), 0))</f>
        <v>0</v>
      </c>
      <c r="N192" s="129">
        <f>IF(OR(N157 = 0, N157 = "" ), 0, IFERROR($Q91 - SUM($F157:N157), 0))</f>
        <v>0</v>
      </c>
      <c r="O192" s="129">
        <f>IF(OR(O157 = 0, O157 = "" ), 0, IFERROR($Q91 - SUM($F157:O157), 0))</f>
        <v>0</v>
      </c>
    </row>
    <row r="193" spans="3:15">
      <c r="C193" s="100" t="s">
        <v>359</v>
      </c>
      <c r="E193" s="206">
        <f>SUM(E179:E192)</f>
        <v>0</v>
      </c>
      <c r="F193" s="206">
        <f t="shared" ref="F193" si="107">SUM(F179:F192)</f>
        <v>0</v>
      </c>
      <c r="G193" s="566">
        <f t="shared" ref="G193" si="108">SUM(G179:G192)</f>
        <v>63.048692649332885</v>
      </c>
      <c r="H193" s="566">
        <f t="shared" ref="H193" si="109">SUM(H179:H192)</f>
        <v>50.244180722379085</v>
      </c>
      <c r="I193" s="206">
        <f t="shared" ref="I193" si="110">SUM(I179:I192)</f>
        <v>36.218515552660307</v>
      </c>
      <c r="J193" s="206">
        <f t="shared" ref="J193" si="111">SUM(J179:J192)</f>
        <v>115.19467874889504</v>
      </c>
      <c r="K193" s="206">
        <f t="shared" ref="K193" si="112">SUM(K179:K192)</f>
        <v>81.776169858627966</v>
      </c>
      <c r="L193" s="566">
        <f t="shared" ref="L193" si="113">SUM(L179:L192)</f>
        <v>95.020118833980248</v>
      </c>
      <c r="M193" s="206">
        <f t="shared" ref="M193" si="114">SUM(M179:M192)</f>
        <v>85.802353477241951</v>
      </c>
      <c r="N193" s="206">
        <f t="shared" ref="N193:O193" si="115">SUM(N179:N192)</f>
        <v>78.393575632198178</v>
      </c>
      <c r="O193" s="206">
        <f t="shared" si="115"/>
        <v>72.982107189172012</v>
      </c>
    </row>
    <row r="194" spans="3:15" ht="4.5" customHeight="1">
      <c r="E194" s="14"/>
      <c r="F194" s="14"/>
      <c r="G194" s="14"/>
      <c r="H194" s="14"/>
      <c r="I194" s="14"/>
      <c r="J194" s="14"/>
      <c r="K194" s="14"/>
      <c r="L194" s="14"/>
      <c r="M194" s="14"/>
      <c r="N194" s="14"/>
      <c r="O194" s="14"/>
    </row>
    <row r="195" spans="3:15">
      <c r="C195" s="100" t="s">
        <v>445</v>
      </c>
      <c r="E195" s="14"/>
      <c r="F195" s="14"/>
      <c r="G195" s="14"/>
      <c r="H195" s="14"/>
      <c r="I195" s="14"/>
      <c r="J195" s="14"/>
      <c r="K195" s="14"/>
      <c r="L195" s="14"/>
      <c r="M195" s="14"/>
      <c r="N195" s="14"/>
      <c r="O195" s="14"/>
    </row>
    <row r="196" spans="3:15">
      <c r="C196" s="228"/>
      <c r="D196" s="229" t="s">
        <v>352</v>
      </c>
      <c r="E196" s="500"/>
      <c r="F196" s="500">
        <f>(_xlfn.XLOOKUP(F$5,'Project Pele ROI'!$F$29:$AL$29,'Project Pele ROI'!$F$32:$AL$32,0)) / 1000</f>
        <v>0</v>
      </c>
      <c r="G196" s="230">
        <f>(_xlfn.XLOOKUP(G$5,'Project Pele ROI'!$F$29:$AL$29,'Project Pele ROI'!$F$32:$AL$32,0)) / 1000</f>
        <v>69.944014150000001</v>
      </c>
      <c r="H196" s="230">
        <f>(_xlfn.XLOOKUP(H$5,'Project Pele ROI'!$F$29:$AL$29,'Project Pele ROI'!$F$32:$AL$32,0)) / 1000</f>
        <v>104.91602122499999</v>
      </c>
      <c r="I196" s="230">
        <f>(_xlfn.XLOOKUP(I$5,'Project Pele ROI'!$F$29:$AL$29,'Project Pele ROI'!$F$32:$AL$32,0)) / 1000</f>
        <v>174.860035375</v>
      </c>
      <c r="J196" s="230">
        <f>(_xlfn.XLOOKUP(J$5,'Project Pele ROI'!$F$29:$AL$29,'Project Pele ROI'!$F$32:$AL$32,0)) / 1000</f>
        <v>70</v>
      </c>
      <c r="K196" s="230">
        <f>(_xlfn.XLOOKUP(K$5,'Project Pele ROI'!$F$29:$AL$29,'Project Pele ROI'!$F$32:$AL$32,0)) / 1000</f>
        <v>35</v>
      </c>
      <c r="L196" s="230">
        <f>(_xlfn.XLOOKUP(L$5,'Project Pele ROI'!$F$29:$AL$29,'Project Pele ROI'!$F$32:$AL$32,0)) / 1000</f>
        <v>10</v>
      </c>
      <c r="M196" s="230">
        <f>(_xlfn.XLOOKUP(M$5,'Project Pele ROI'!$F$29:$AL$29,'Project Pele ROI'!$F$32:$AL$32,0)) / 1000</f>
        <v>0</v>
      </c>
      <c r="N196" s="230">
        <f>(_xlfn.XLOOKUP(N$5,'Project Pele ROI'!$F$29:$AL$29,'Project Pele ROI'!$F$32:$AL$32,0)) / 1000</f>
        <v>0</v>
      </c>
      <c r="O196" s="230">
        <f>(_xlfn.XLOOKUP(O$5,'Project Pele ROI'!$F$29:$AL$29,'Project Pele ROI'!$F$32:$AL$32,0)) / 1000</f>
        <v>0</v>
      </c>
    </row>
    <row r="197" spans="3:15">
      <c r="D197" s="8" t="s">
        <v>254</v>
      </c>
      <c r="E197" s="499"/>
      <c r="F197" s="499">
        <f>_xlfn.XLOOKUP(F$5, 'Project Pele Fin.'!$D$4:$AJ$4, 'Project Pele Fin.'!$D$17:$AJ$17, 0) / 1000000</f>
        <v>0</v>
      </c>
      <c r="G197" s="14">
        <f>_xlfn.XLOOKUP(G$5, 'Project Pele Fin.'!$D$4:$AJ$4, 'Project Pele Fin.'!$D$17:$AJ$17, 0) / 1000000</f>
        <v>40.829566148990928</v>
      </c>
      <c r="H197" s="14">
        <f>_xlfn.XLOOKUP(H$5, 'Project Pele Fin.'!$D$4:$AJ$4, 'Project Pele Fin.'!$D$17:$AJ$17, 0) / 1000000</f>
        <v>53.958939225378401</v>
      </c>
      <c r="I197" s="14">
        <f>_xlfn.XLOOKUP(I$5, 'Project Pele Fin.'!$D$4:$AJ$4, 'Project Pele Fin.'!$D$17:$AJ$17, 0) / 1000000</f>
        <v>89.931565375630683</v>
      </c>
      <c r="J197" s="14">
        <f>_xlfn.XLOOKUP(J$5, 'Project Pele Fin.'!$D$4:$AJ$4, 'Project Pele Fin.'!$D$17:$AJ$17, 0) / 1000000</f>
        <v>28</v>
      </c>
      <c r="K197" s="14">
        <f>_xlfn.XLOOKUP(K$5, 'Project Pele Fin.'!$D$4:$AJ$4, 'Project Pele Fin.'!$D$17:$AJ$17, 0) / 1000000</f>
        <v>14</v>
      </c>
      <c r="L197" s="14">
        <f>_xlfn.XLOOKUP(L$5, 'Project Pele Fin.'!$D$4:$AJ$4, 'Project Pele Fin.'!$D$17:$AJ$17, 0) / 1000000</f>
        <v>4</v>
      </c>
      <c r="M197" s="14">
        <f>_xlfn.XLOOKUP(M$5, 'Project Pele Fin.'!$D$4:$AJ$4, 'Project Pele Fin.'!$D$17:$AJ$17, 0) / 1000000</f>
        <v>0</v>
      </c>
      <c r="N197" s="14">
        <f>_xlfn.XLOOKUP(N$5, 'Project Pele Fin.'!$D$4:$AJ$4, 'Project Pele Fin.'!$D$17:$AJ$17, 0) / 1000000</f>
        <v>0</v>
      </c>
      <c r="O197" s="14">
        <f>_xlfn.XLOOKUP(O$5, 'Project Pele Fin.'!$D$4:$AJ$4, 'Project Pele Fin.'!$D$17:$AJ$17, 0) / 1000000</f>
        <v>0</v>
      </c>
    </row>
    <row r="198" spans="3:15">
      <c r="C198" s="228"/>
      <c r="D198" s="229" t="s">
        <v>255</v>
      </c>
      <c r="E198" s="500"/>
      <c r="F198" s="500">
        <f>F196-F197</f>
        <v>0</v>
      </c>
      <c r="G198" s="230">
        <f t="shared" ref="G198:O198" si="116">G196-G197</f>
        <v>29.114448001009073</v>
      </c>
      <c r="H198" s="230">
        <f t="shared" si="116"/>
        <v>50.957081999621593</v>
      </c>
      <c r="I198" s="230">
        <f>I196-I197</f>
        <v>84.928469999369312</v>
      </c>
      <c r="J198" s="230">
        <f t="shared" si="116"/>
        <v>42</v>
      </c>
      <c r="K198" s="230">
        <f t="shared" si="116"/>
        <v>21</v>
      </c>
      <c r="L198" s="230">
        <f t="shared" si="116"/>
        <v>6</v>
      </c>
      <c r="M198" s="230">
        <f t="shared" si="116"/>
        <v>0</v>
      </c>
      <c r="N198" s="230">
        <f t="shared" si="116"/>
        <v>0</v>
      </c>
      <c r="O198" s="230">
        <f t="shared" si="116"/>
        <v>0</v>
      </c>
    </row>
    <row r="199" spans="3:15">
      <c r="D199" s="8" t="s">
        <v>416</v>
      </c>
      <c r="E199" s="499"/>
      <c r="F199" s="499">
        <f>_xlfn.XLOOKUP(F$5, 'Project Pele Fin.'!$D$4:$AJ$4, 'Project Pele Fin.'!$D$42:$AJ$42, 0) / 1000000</f>
        <v>0</v>
      </c>
      <c r="G199" s="14">
        <f>_xlfn.XLOOKUP(G$5, 'Project Pele Fin.'!$D$4:$AJ$4, 'Project Pele Fin.'!$D$42:$AJ$42, 0) / 1000000</f>
        <v>0</v>
      </c>
      <c r="H199" s="14">
        <f>_xlfn.XLOOKUP(H$5, 'Project Pele Fin.'!$D$4:$AJ$4, 'Project Pele Fin.'!$D$42:$AJ$42, 0) / 1000000</f>
        <v>0</v>
      </c>
      <c r="I199" s="14">
        <f>_xlfn.XLOOKUP(I$5, 'Project Pele Fin.'!$D$4:$AJ$4, 'Project Pele Fin.'!$D$42:$AJ$42, 0) / 1000000</f>
        <v>21.676991784489157</v>
      </c>
      <c r="J199" s="14">
        <f>_xlfn.XLOOKUP(J$5, 'Project Pele Fin.'!$D$4:$AJ$4, 'Project Pele Fin.'!$D$42:$AJ$42, 0) / 1000000</f>
        <v>24.061460880782967</v>
      </c>
      <c r="K199" s="14">
        <f>_xlfn.XLOOKUP(K$5, 'Project Pele Fin.'!$D$4:$AJ$4, 'Project Pele Fin.'!$D$42:$AJ$42, 0) / 1000000</f>
        <v>31.001262894573188</v>
      </c>
      <c r="L199" s="14">
        <f>_xlfn.XLOOKUP(L$5, 'Project Pele Fin.'!$D$4:$AJ$4, 'Project Pele Fin.'!$D$42:$AJ$42, 0) / 1000000</f>
        <v>36.557922471428299</v>
      </c>
      <c r="M199" s="14">
        <f>_xlfn.XLOOKUP(M$5, 'Project Pele Fin.'!$D$4:$AJ$4, 'Project Pele Fin.'!$D$42:$AJ$42, 0) / 1000000</f>
        <v>71.192585559986014</v>
      </c>
      <c r="N199" s="14">
        <f>_xlfn.XLOOKUP(N$5, 'Project Pele Fin.'!$D$4:$AJ$4, 'Project Pele Fin.'!$D$42:$AJ$42, 0) / 1000000</f>
        <v>9.1967781870952994</v>
      </c>
      <c r="O199" s="14">
        <f>_xlfn.XLOOKUP(O$5, 'Project Pele Fin.'!$D$4:$AJ$4, 'Project Pele Fin.'!$D$42:$AJ$42, 0) / 1000000</f>
        <v>10.208423787675782</v>
      </c>
    </row>
    <row r="200" spans="3:15">
      <c r="C200" s="228"/>
      <c r="D200" s="229" t="s">
        <v>474</v>
      </c>
      <c r="E200" s="500"/>
      <c r="F200" s="500">
        <f>_xlfn.XLOOKUP(F$5, 'Project Pele Fin.'!$D$4:$AJ$4, 'Project Pele Fin.'!$D$59:$AJ$59, 0) / 1000000</f>
        <v>0</v>
      </c>
      <c r="G200" s="230">
        <f>_xlfn.XLOOKUP(G$5, 'Project Pele Fin.'!$D$4:$AJ$4, 'Project Pele Fin.'!$D$59:$AJ$59, 0) / 1000000</f>
        <v>4.7337337601210896</v>
      </c>
      <c r="H200" s="230">
        <f>_xlfn.XLOOKUP(H$5, 'Project Pele Fin.'!$D$4:$AJ$4, 'Project Pele Fin.'!$D$59:$AJ$59, 0) / 1000000</f>
        <v>11.608583600075681</v>
      </c>
      <c r="I200" s="230">
        <f>_xlfn.XLOOKUP(I$5, 'Project Pele Fin.'!$D$4:$AJ$4, 'Project Pele Fin.'!$D$59:$AJ$59, 0) / 1000000</f>
        <v>19.149999999999999</v>
      </c>
      <c r="J200" s="230">
        <f>_xlfn.XLOOKUP(J$5, 'Project Pele Fin.'!$D$4:$AJ$4, 'Project Pele Fin.'!$D$59:$AJ$59, 0) / 1000000</f>
        <v>15.765530903706193</v>
      </c>
      <c r="K200" s="230">
        <f>_xlfn.XLOOKUP(K$5, 'Project Pele Fin.'!$D$4:$AJ$4, 'Project Pele Fin.'!$D$59:$AJ$59, 0) / 1000000</f>
        <v>17.738770206820064</v>
      </c>
      <c r="L200" s="230">
        <f>_xlfn.XLOOKUP(L$5, 'Project Pele Fin.'!$D$4:$AJ$4, 'Project Pele Fin.'!$D$59:$AJ$59, 0) / 1000000</f>
        <v>16.638631288417013</v>
      </c>
      <c r="M200" s="230">
        <f>_xlfn.XLOOKUP(M$5, 'Project Pele Fin.'!$D$4:$AJ$4, 'Project Pele Fin.'!$D$59:$AJ$59, 0) / 1000000</f>
        <v>13.277259816559901</v>
      </c>
      <c r="N200" s="230">
        <f>_xlfn.XLOOKUP(N$5, 'Project Pele Fin.'!$D$4:$AJ$4, 'Project Pele Fin.'!$D$59:$AJ$59, 0) / 1000000</f>
        <v>5.4460754049614408</v>
      </c>
      <c r="O200" s="230">
        <f>_xlfn.XLOOKUP(O$5, 'Project Pele Fin.'!$D$4:$AJ$4, 'Project Pele Fin.'!$D$59:$AJ$59, 0) / 1000000</f>
        <v>4.434429804380958</v>
      </c>
    </row>
    <row r="201" spans="3:15" s="100" customFormat="1">
      <c r="D201" s="100" t="s">
        <v>475</v>
      </c>
      <c r="E201" s="223"/>
      <c r="F201" s="223">
        <f>E201+F198-F199</f>
        <v>0</v>
      </c>
      <c r="G201" s="565">
        <f t="shared" ref="G201:O201" si="117">F201+G198-G199</f>
        <v>29.114448001009073</v>
      </c>
      <c r="H201" s="565">
        <f t="shared" si="117"/>
        <v>80.071530000630673</v>
      </c>
      <c r="I201" s="223">
        <f t="shared" si="117"/>
        <v>143.32300821551084</v>
      </c>
      <c r="J201" s="223">
        <f t="shared" si="117"/>
        <v>161.26154733472788</v>
      </c>
      <c r="K201" s="223">
        <f t="shared" si="117"/>
        <v>151.26028444015469</v>
      </c>
      <c r="L201" s="565">
        <f t="shared" si="117"/>
        <v>120.70236196872639</v>
      </c>
      <c r="M201" s="223">
        <f t="shared" si="117"/>
        <v>49.509776408740379</v>
      </c>
      <c r="N201" s="223">
        <f t="shared" si="117"/>
        <v>40.312998221645081</v>
      </c>
      <c r="O201" s="223">
        <f t="shared" si="117"/>
        <v>30.104574433969297</v>
      </c>
    </row>
    <row r="202" spans="3:15" s="100" customFormat="1">
      <c r="E202" s="223"/>
      <c r="F202" s="223"/>
      <c r="G202" s="565"/>
      <c r="H202" s="565">
        <f>+H201-G201</f>
        <v>50.9570819996216</v>
      </c>
      <c r="I202" s="565">
        <f t="shared" ref="I202:O202" si="118">+I201-H201</f>
        <v>63.251478214880166</v>
      </c>
      <c r="J202" s="565">
        <f t="shared" si="118"/>
        <v>17.93853911921704</v>
      </c>
      <c r="K202" s="565">
        <f t="shared" si="118"/>
        <v>-10.001262894573188</v>
      </c>
      <c r="L202" s="565">
        <f t="shared" si="118"/>
        <v>-30.557922471428299</v>
      </c>
      <c r="M202" s="565">
        <f t="shared" si="118"/>
        <v>-71.192585559986014</v>
      </c>
      <c r="N202" s="565">
        <f t="shared" si="118"/>
        <v>-9.1967781870952976</v>
      </c>
      <c r="O202" s="565">
        <f t="shared" si="118"/>
        <v>-10.208423787675784</v>
      </c>
    </row>
    <row r="203" spans="3:15" ht="3.75" customHeight="1">
      <c r="E203" s="14"/>
      <c r="F203" s="14"/>
      <c r="G203" s="14"/>
      <c r="H203" s="14"/>
      <c r="I203" s="14"/>
      <c r="J203" s="14"/>
      <c r="K203" s="14"/>
      <c r="L203" s="14"/>
      <c r="M203" s="14"/>
      <c r="N203" s="14"/>
      <c r="O203" s="14"/>
    </row>
    <row r="204" spans="3:15">
      <c r="C204" s="100" t="s">
        <v>632</v>
      </c>
      <c r="E204" s="14"/>
      <c r="F204" s="14"/>
      <c r="G204" s="14"/>
      <c r="H204" s="14"/>
      <c r="I204" s="14"/>
      <c r="J204" s="14"/>
      <c r="K204" s="14"/>
      <c r="L204" s="14"/>
      <c r="M204" s="14"/>
      <c r="N204" s="14"/>
      <c r="O204" s="14"/>
    </row>
    <row r="205" spans="3:15">
      <c r="C205" s="228"/>
      <c r="D205" s="229" t="s">
        <v>352</v>
      </c>
      <c r="E205" s="500"/>
      <c r="F205" s="500">
        <f>(_xlfn.XLOOKUP(F$5,'Project Eureka ROI'!$F$21:$AL$21,'Project Eureka ROI'!$F$24:$AL$24,0)) / 1000</f>
        <v>0</v>
      </c>
      <c r="G205" s="230">
        <f>(_xlfn.XLOOKUP(G$5,'Project Eureka ROI'!$F$21:$AL$21,'Project Eureka ROI'!$F$24:$AL$24,0)) / 1000</f>
        <v>0</v>
      </c>
      <c r="H205" s="230">
        <f>(_xlfn.XLOOKUP(H$5,'Project Eureka ROI'!$F$21:$AL$21,'Project Eureka ROI'!$F$24:$AL$24,0)) / 1000</f>
        <v>48.733230000000006</v>
      </c>
      <c r="I205" s="230">
        <f>(_xlfn.XLOOKUP(I$5,'Project Eureka ROI'!$F$21:$AL$21,'Project Eureka ROI'!$F$24:$AL$24,0)) / 1000</f>
        <v>51.232370000000003</v>
      </c>
      <c r="J205" s="230">
        <f>(_xlfn.XLOOKUP(J$5,'Project Eureka ROI'!$F$21:$AL$21,'Project Eureka ROI'!$F$24:$AL$24,0)) / 1000</f>
        <v>24.991399999999999</v>
      </c>
      <c r="K205" s="230">
        <f>(_xlfn.XLOOKUP(K$5,'Project Eureka ROI'!$F$21:$AL$21,'Project Eureka ROI'!$F$24:$AL$24,0)) / 1000</f>
        <v>0</v>
      </c>
      <c r="L205" s="230">
        <f>(_xlfn.XLOOKUP(L$5,'Project Eureka ROI'!$F$21:$AL$21,'Project Eureka ROI'!$F$24:$AL$24,0)) / 1000</f>
        <v>0</v>
      </c>
      <c r="M205" s="230">
        <f>(_xlfn.XLOOKUP(M$5,'Project Eureka ROI'!$F$21:$AL$21,'Project Eureka ROI'!$F$24:$AL$24,0)) / 1000</f>
        <v>0</v>
      </c>
      <c r="N205" s="230">
        <f>(_xlfn.XLOOKUP(N$5,'Project Eureka ROI'!$F$21:$AL$21,'Project Eureka ROI'!$F$24:$AL$24,0)) / 1000</f>
        <v>0</v>
      </c>
      <c r="O205" s="230">
        <f>(_xlfn.XLOOKUP(O$5,'Project Eureka ROI'!$F$21:$AL$21,'Project Eureka ROI'!$F$24:$AL$24,0)) / 1000</f>
        <v>0</v>
      </c>
    </row>
    <row r="206" spans="3:15">
      <c r="D206" s="8" t="s">
        <v>254</v>
      </c>
      <c r="E206" s="499"/>
      <c r="F206" s="499">
        <f>_xlfn.XLOOKUP(F$5, 'Project Eureka Fin.'!$D$4:$AJ$4, 'Project Eureka Fin.'!$D$17:$AJ$17, 0) / 1000000</f>
        <v>0</v>
      </c>
      <c r="G206" s="14">
        <f>_xlfn.XLOOKUP(G$5, 'Project Eureka Fin.'!$D$4:$AJ$4, 'Project Eureka Fin.'!$D$17:$AJ$17, 0) / 1000000</f>
        <v>0</v>
      </c>
      <c r="H206" s="14">
        <f>_xlfn.XLOOKUP(H$5, 'Project Eureka Fin.'!$D$4:$AJ$4, 'Project Eureka Fin.'!$D$17:$AJ$17, 0) / 1000000</f>
        <v>0</v>
      </c>
      <c r="I206" s="14">
        <f>_xlfn.XLOOKUP(I$5, 'Project Eureka Fin.'!$D$4:$AJ$4, 'Project Eureka Fin.'!$D$17:$AJ$17, 0) / 1000000</f>
        <v>0</v>
      </c>
      <c r="J206" s="14">
        <f>_xlfn.XLOOKUP(J$5, 'Project Eureka Fin.'!$D$4:$AJ$4, 'Project Eureka Fin.'!$D$17:$AJ$17, 0) / 1000000</f>
        <v>0</v>
      </c>
      <c r="K206" s="14">
        <f>_xlfn.XLOOKUP(K$5, 'Project Eureka Fin.'!$D$4:$AJ$4, 'Project Eureka Fin.'!$D$17:$AJ$17, 0) / 1000000</f>
        <v>0</v>
      </c>
      <c r="L206" s="14">
        <f>_xlfn.XLOOKUP(L$5, 'Project Eureka Fin.'!$D$4:$AJ$4, 'Project Eureka Fin.'!$D$17:$AJ$17, 0) / 1000000</f>
        <v>0</v>
      </c>
      <c r="M206" s="14">
        <f>_xlfn.XLOOKUP(M$5, 'Project Eureka Fin.'!$D$4:$AJ$4, 'Project Eureka Fin.'!$D$17:$AJ$17, 0) / 1000000</f>
        <v>0</v>
      </c>
      <c r="N206" s="14">
        <f>_xlfn.XLOOKUP(N$5, 'Project Eureka Fin.'!$D$4:$AJ$4, 'Project Eureka Fin.'!$D$17:$AJ$17, 0) / 1000000</f>
        <v>0</v>
      </c>
      <c r="O206" s="14">
        <f>_xlfn.XLOOKUP(O$5, 'Project Eureka Fin.'!$D$4:$AJ$4, 'Project Eureka Fin.'!$D$17:$AJ$17, 0) / 1000000</f>
        <v>0</v>
      </c>
    </row>
    <row r="207" spans="3:15">
      <c r="C207" s="228"/>
      <c r="D207" s="229" t="s">
        <v>255</v>
      </c>
      <c r="E207" s="500"/>
      <c r="F207" s="500">
        <f>F205-F206</f>
        <v>0</v>
      </c>
      <c r="G207" s="230">
        <f t="shared" ref="G207" si="119">G205-G206</f>
        <v>0</v>
      </c>
      <c r="H207" s="230">
        <f t="shared" ref="H207" si="120">H205-H206</f>
        <v>48.733230000000006</v>
      </c>
      <c r="I207" s="230">
        <f>I205-I206</f>
        <v>51.232370000000003</v>
      </c>
      <c r="J207" s="230">
        <f t="shared" ref="J207" si="121">J205-J206</f>
        <v>24.991399999999999</v>
      </c>
      <c r="K207" s="230">
        <f t="shared" ref="K207" si="122">K205-K206</f>
        <v>0</v>
      </c>
      <c r="L207" s="230">
        <f t="shared" ref="L207" si="123">L205-L206</f>
        <v>0</v>
      </c>
      <c r="M207" s="230">
        <f t="shared" ref="M207" si="124">M205-M206</f>
        <v>0</v>
      </c>
      <c r="N207" s="230">
        <f t="shared" ref="N207" si="125">N205-N206</f>
        <v>0</v>
      </c>
      <c r="O207" s="230">
        <f t="shared" ref="O207" si="126">O205-O206</f>
        <v>0</v>
      </c>
    </row>
    <row r="208" spans="3:15">
      <c r="D208" s="8" t="s">
        <v>416</v>
      </c>
      <c r="E208" s="499"/>
      <c r="F208" s="499">
        <f>_xlfn.XLOOKUP(F$5, 'Project Eureka Fin.'!$D$4:$AJ$4, 'Project Eureka Fin.'!$D$42:$AJ$42, 0) / 1000000</f>
        <v>0</v>
      </c>
      <c r="G208" s="14">
        <f>_xlfn.XLOOKUP(G$5, 'Project Eureka Fin.'!$D$4:$AJ$4, 'Project Eureka Fin.'!$D$42:$AJ$42, 0) / 1000000</f>
        <v>0</v>
      </c>
      <c r="H208" s="14">
        <f>_xlfn.XLOOKUP(H$5, 'Project Eureka Fin.'!$D$4:$AJ$4, 'Project Eureka Fin.'!$D$42:$AJ$42, 0) / 1000000</f>
        <v>0</v>
      </c>
      <c r="I208" s="14">
        <f>_xlfn.XLOOKUP(I$5, 'Project Eureka Fin.'!$D$4:$AJ$4, 'Project Eureka Fin.'!$D$42:$AJ$42, 0) / 1000000</f>
        <v>0</v>
      </c>
      <c r="J208" s="14">
        <f>_xlfn.XLOOKUP(J$5, 'Project Eureka Fin.'!$D$4:$AJ$4, 'Project Eureka Fin.'!$D$42:$AJ$42, 0) / 1000000</f>
        <v>0</v>
      </c>
      <c r="K208" s="14">
        <f>_xlfn.XLOOKUP(K$5, 'Project Eureka Fin.'!$D$4:$AJ$4, 'Project Eureka Fin.'!$D$42:$AJ$42, 0) / 1000000</f>
        <v>3.3518765134884987</v>
      </c>
      <c r="L208" s="14">
        <f>_xlfn.XLOOKUP(L$5, 'Project Eureka Fin.'!$D$4:$AJ$4, 'Project Eureka Fin.'!$D$42:$AJ$42, 0) / 1000000</f>
        <v>3.7541016951071176</v>
      </c>
      <c r="M208" s="14">
        <f>_xlfn.XLOOKUP(M$5, 'Project Eureka Fin.'!$D$4:$AJ$4, 'Project Eureka Fin.'!$D$42:$AJ$42, 0) / 1000000</f>
        <v>4.2045938985199722</v>
      </c>
      <c r="N208" s="14">
        <f>_xlfn.XLOOKUP(N$5, 'Project Eureka Fin.'!$D$4:$AJ$4, 'Project Eureka Fin.'!$D$42:$AJ$42, 0) / 1000000</f>
        <v>4.7091451663423678</v>
      </c>
      <c r="O208" s="14">
        <f>_xlfn.XLOOKUP(O$5, 'Project Eureka Fin.'!$D$4:$AJ$4, 'Project Eureka Fin.'!$D$42:$AJ$42, 0) / 1000000</f>
        <v>5.2742425863034521</v>
      </c>
    </row>
    <row r="209" spans="3:15">
      <c r="C209" s="228"/>
      <c r="D209" s="229" t="s">
        <v>474</v>
      </c>
      <c r="E209" s="500"/>
      <c r="F209" s="500">
        <f>_xlfn.XLOOKUP(F$5, 'Project Eureka Fin.'!$D$4:$AJ$4, 'Project Eureka Fin.'!$D$59:$AJ$59, 0) / 1000000</f>
        <v>0</v>
      </c>
      <c r="G209" s="230">
        <f>_xlfn.XLOOKUP(G$5, 'Project Eureka Fin.'!$D$4:$AJ$4, 'Project Eureka Fin.'!$D$59:$AJ$59, 0) / 1000000</f>
        <v>0</v>
      </c>
      <c r="H209" s="230">
        <f>_xlfn.XLOOKUP(H$5, 'Project Eureka Fin.'!$D$4:$AJ$4, 'Project Eureka Fin.'!$D$59:$AJ$59, 0) / 1000000</f>
        <v>0</v>
      </c>
      <c r="I209" s="230">
        <f>_xlfn.XLOOKUP(I$5, 'Project Eureka Fin.'!$D$4:$AJ$4, 'Project Eureka Fin.'!$D$59:$AJ$59, 0) / 1000000</f>
        <v>0</v>
      </c>
      <c r="J209" s="230">
        <f>_xlfn.XLOOKUP(J$5, 'Project Eureka Fin.'!$D$4:$AJ$4, 'Project Eureka Fin.'!$D$59:$AJ$59, 0) / 1000000</f>
        <v>0</v>
      </c>
      <c r="K209" s="230">
        <f>_xlfn.XLOOKUP(K$5, 'Project Eureka Fin.'!$D$4:$AJ$4, 'Project Eureka Fin.'!$D$59:$AJ$59, 0) / 1000000</f>
        <v>14.99484</v>
      </c>
      <c r="L209" s="230">
        <f>_xlfn.XLOOKUP(L$5, 'Project Eureka Fin.'!$D$4:$AJ$4, 'Project Eureka Fin.'!$D$59:$AJ$59, 0) / 1000000</f>
        <v>14.59261481838138</v>
      </c>
      <c r="M209" s="230">
        <f>_xlfn.XLOOKUP(M$5, 'Project Eureka Fin.'!$D$4:$AJ$4, 'Project Eureka Fin.'!$D$59:$AJ$59, 0) / 1000000</f>
        <v>14.142122614968525</v>
      </c>
      <c r="N209" s="230">
        <f>_xlfn.XLOOKUP(N$5, 'Project Eureka Fin.'!$D$4:$AJ$4, 'Project Eureka Fin.'!$D$59:$AJ$59, 0) / 1000000</f>
        <v>13.637571347146132</v>
      </c>
      <c r="O209" s="230">
        <f>_xlfn.XLOOKUP(O$5, 'Project Eureka Fin.'!$D$4:$AJ$4, 'Project Eureka Fin.'!$D$59:$AJ$59, 0) / 1000000</f>
        <v>13.072473927185046</v>
      </c>
    </row>
    <row r="210" spans="3:15" s="100" customFormat="1">
      <c r="D210" s="100" t="s">
        <v>475</v>
      </c>
      <c r="E210" s="223"/>
      <c r="F210" s="223">
        <f t="shared" ref="F210" si="127">E210+F207-F208</f>
        <v>0</v>
      </c>
      <c r="G210" s="565">
        <f t="shared" ref="G210" si="128">F210+G207-G208</f>
        <v>0</v>
      </c>
      <c r="H210" s="565">
        <f t="shared" ref="H210" si="129">G210+H207-H208</f>
        <v>48.733230000000006</v>
      </c>
      <c r="I210" s="223">
        <f t="shared" ref="I210" si="130">H210+I207-I208</f>
        <v>99.965600000000009</v>
      </c>
      <c r="J210" s="223">
        <f t="shared" ref="J210" si="131">I210+J207-J208</f>
        <v>124.95700000000001</v>
      </c>
      <c r="K210" s="223">
        <f t="shared" ref="K210" si="132">J210+K207-K208</f>
        <v>121.6051234865115</v>
      </c>
      <c r="L210" s="565">
        <f t="shared" ref="L210:O210" si="133">K210+L207-L208</f>
        <v>117.85102179140438</v>
      </c>
      <c r="M210" s="223">
        <f t="shared" si="133"/>
        <v>113.6464278928844</v>
      </c>
      <c r="N210" s="223">
        <f t="shared" si="133"/>
        <v>108.93728272654204</v>
      </c>
      <c r="O210" s="223">
        <f t="shared" si="133"/>
        <v>103.66304014023858</v>
      </c>
    </row>
    <row r="211" spans="3:15" ht="3.75" customHeight="1">
      <c r="E211" s="14"/>
      <c r="F211" s="14"/>
      <c r="G211" s="14"/>
      <c r="H211" s="14"/>
      <c r="I211" s="14"/>
      <c r="J211" s="14"/>
      <c r="K211" s="14"/>
      <c r="L211" s="14"/>
      <c r="M211" s="14"/>
      <c r="N211" s="14"/>
      <c r="O211" s="14"/>
    </row>
    <row r="212" spans="3:15">
      <c r="C212" s="100" t="s">
        <v>633</v>
      </c>
      <c r="E212" s="14"/>
      <c r="F212" s="14"/>
      <c r="G212" s="14"/>
      <c r="H212" s="14"/>
      <c r="I212" s="14"/>
      <c r="J212" s="14"/>
      <c r="K212" s="14"/>
      <c r="L212" s="14"/>
      <c r="M212" s="14"/>
      <c r="N212" s="14"/>
      <c r="O212" s="14"/>
    </row>
    <row r="213" spans="3:15">
      <c r="C213" s="228"/>
      <c r="D213" s="229" t="s">
        <v>352</v>
      </c>
      <c r="E213" s="500"/>
      <c r="F213" s="500">
        <f>_xlfn.XLOOKUP(F$5, 'Project Playground ROI'!$F$29:$AL$29, 'Project Playground ROI'!$F$32:$AL$32, 0) / 1000</f>
        <v>0</v>
      </c>
      <c r="G213" s="230">
        <f>_xlfn.XLOOKUP(G$5, 'Project Playground ROI'!$F$29:$AL$29, 'Project Playground ROI'!$F$32:$AL$32, 0) / 1000</f>
        <v>0</v>
      </c>
      <c r="H213" s="230">
        <f>_xlfn.XLOOKUP(H$5, 'Project Playground ROI'!$F$29:$AL$29, 'Project Playground ROI'!$F$32:$AL$32, 0) / 1000</f>
        <v>89.433536907000004</v>
      </c>
      <c r="I213" s="230">
        <f>_xlfn.XLOOKUP(I$5, 'Project Playground ROI'!$F$29:$AL$29, 'Project Playground ROI'!$F$32:$AL$32, 0) / 1000</f>
        <v>94.019872132999993</v>
      </c>
      <c r="J213" s="230">
        <f>_xlfn.XLOOKUP(J$5, 'Project Playground ROI'!$F$29:$AL$29, 'Project Playground ROI'!$F$32:$AL$32, 0) / 1000</f>
        <v>45.863352259999992</v>
      </c>
      <c r="K213" s="230">
        <f>_xlfn.XLOOKUP(K$5, 'Project Playground ROI'!$F$29:$AL$29, 'Project Playground ROI'!$F$32:$AL$32, 0) / 1000</f>
        <v>22.5</v>
      </c>
      <c r="L213" s="230">
        <f>_xlfn.XLOOKUP(L$5, 'Project Playground ROI'!$F$29:$AL$29, 'Project Playground ROI'!$F$32:$AL$32, 0) / 1000</f>
        <v>27.5</v>
      </c>
      <c r="M213" s="230">
        <f>_xlfn.XLOOKUP(M$5, 'Project Playground ROI'!$F$29:$AL$29, 'Project Playground ROI'!$F$32:$AL$32, 0) / 1000</f>
        <v>0</v>
      </c>
      <c r="N213" s="230">
        <f>_xlfn.XLOOKUP(N$5, 'Project Playground ROI'!$F$29:$AL$29, 'Project Playground ROI'!$F$32:$AL$32, 0) / 1000</f>
        <v>0</v>
      </c>
      <c r="O213" s="230">
        <f>_xlfn.XLOOKUP(O$5, 'Project Playground ROI'!$F$29:$AL$29, 'Project Playground ROI'!$F$32:$AL$32, 0) / 1000</f>
        <v>0</v>
      </c>
    </row>
    <row r="214" spans="3:15">
      <c r="D214" s="8" t="s">
        <v>254</v>
      </c>
      <c r="E214" s="499"/>
      <c r="F214" s="499">
        <f>_xlfn.XLOOKUP(F$5, 'Project Playground Fin.'!$D$4:$AJ$4, 'Project Playground Fin.'!$D$17:$AJ$17, 0) / 1000000</f>
        <v>0</v>
      </c>
      <c r="G214" s="14">
        <f>_xlfn.XLOOKUP(G$5, 'Project Playground Fin.'!$D$4:$AJ$4, 'Project Playground Fin.'!$D$17:$AJ$17, 0) / 1000000</f>
        <v>0</v>
      </c>
      <c r="H214" s="14">
        <f>_xlfn.XLOOKUP(H$5, 'Project Playground Fin.'!$D$4:$AJ$4, 'Project Playground Fin.'!$D$17:$AJ$17, 0) / 1000000</f>
        <v>89.433536907000004</v>
      </c>
      <c r="I214" s="14">
        <f>_xlfn.XLOOKUP(I$5, 'Project Playground Fin.'!$D$4:$AJ$4, 'Project Playground Fin.'!$D$17:$AJ$17, 0) / 1000000</f>
        <v>94.019872133000007</v>
      </c>
      <c r="J214" s="14">
        <f>_xlfn.XLOOKUP(J$5, 'Project Playground Fin.'!$D$4:$AJ$4, 'Project Playground Fin.'!$D$17:$AJ$17, 0) / 1000000</f>
        <v>45.863352259999992</v>
      </c>
      <c r="K214" s="14">
        <f>_xlfn.XLOOKUP(K$5, 'Project Playground Fin.'!$D$4:$AJ$4, 'Project Playground Fin.'!$D$17:$AJ$17, 0) / 1000000</f>
        <v>22.5</v>
      </c>
      <c r="L214" s="14">
        <f>_xlfn.XLOOKUP(L$5, 'Project Playground Fin.'!$D$4:$AJ$4, 'Project Playground Fin.'!$D$17:$AJ$17, 0) / 1000000</f>
        <v>27.5</v>
      </c>
      <c r="M214" s="14">
        <f>_xlfn.XLOOKUP(M$5, 'Project Playground Fin.'!$D$4:$AJ$4, 'Project Playground Fin.'!$D$17:$AJ$17, 0) / 1000000</f>
        <v>0</v>
      </c>
      <c r="N214" s="14">
        <f>_xlfn.XLOOKUP(N$5, 'Project Playground Fin.'!$D$4:$AJ$4, 'Project Playground Fin.'!$D$17:$AJ$17, 0) / 1000000</f>
        <v>0</v>
      </c>
      <c r="O214" s="14">
        <f>_xlfn.XLOOKUP(O$5, 'Project Playground Fin.'!$D$4:$AJ$4, 'Project Playground Fin.'!$D$17:$AJ$17, 0) / 1000000</f>
        <v>0</v>
      </c>
    </row>
    <row r="215" spans="3:15">
      <c r="C215" s="228"/>
      <c r="D215" s="229" t="s">
        <v>255</v>
      </c>
      <c r="E215" s="500"/>
      <c r="F215" s="500">
        <f>F213-F214</f>
        <v>0</v>
      </c>
      <c r="G215" s="230">
        <f t="shared" ref="G215:H215" si="134">G213-G214</f>
        <v>0</v>
      </c>
      <c r="H215" s="230">
        <f t="shared" si="134"/>
        <v>0</v>
      </c>
      <c r="I215" s="230">
        <f>I213-I214</f>
        <v>0</v>
      </c>
      <c r="J215" s="230">
        <f t="shared" ref="J215:O215" si="135">J213-J214</f>
        <v>0</v>
      </c>
      <c r="K215" s="230">
        <f t="shared" si="135"/>
        <v>0</v>
      </c>
      <c r="L215" s="230">
        <f t="shared" si="135"/>
        <v>0</v>
      </c>
      <c r="M215" s="230">
        <f t="shared" si="135"/>
        <v>0</v>
      </c>
      <c r="N215" s="230">
        <f t="shared" si="135"/>
        <v>0</v>
      </c>
      <c r="O215" s="230">
        <f t="shared" si="135"/>
        <v>0</v>
      </c>
    </row>
    <row r="216" spans="3:15">
      <c r="D216" s="8" t="s">
        <v>416</v>
      </c>
      <c r="E216" s="499"/>
      <c r="F216" s="499">
        <f>_xlfn.XLOOKUP(F$5, 'Project Playground Fin.'!$D$4:$AJ$4, 'Project Playground Fin.'!$D$42:$AJ$42, 0) / 1000000</f>
        <v>0</v>
      </c>
      <c r="G216" s="14">
        <f>_xlfn.XLOOKUP(G$5, 'Project Playground Fin.'!$D$4:$AJ$4, 'Project Playground Fin.'!$D$42:$AJ$42, 0) / 1000000</f>
        <v>0</v>
      </c>
      <c r="H216" s="14">
        <f>_xlfn.XLOOKUP(H$5, 'Project Playground Fin.'!$D$4:$AJ$4, 'Project Playground Fin.'!$D$42:$AJ$42, 0) / 1000000</f>
        <v>0</v>
      </c>
      <c r="I216" s="14">
        <f>_xlfn.XLOOKUP(I$5, 'Project Playground Fin.'!$D$4:$AJ$4, 'Project Playground Fin.'!$D$42:$AJ$42, 0) / 1000000</f>
        <v>0</v>
      </c>
      <c r="J216" s="14">
        <f>_xlfn.XLOOKUP(J$5, 'Project Playground Fin.'!$D$4:$AJ$4, 'Project Playground Fin.'!$D$42:$AJ$42, 0) / 1000000</f>
        <v>0</v>
      </c>
      <c r="K216" s="14">
        <f>_xlfn.XLOOKUP(K$5, 'Project Playground Fin.'!$D$4:$AJ$4, 'Project Playground Fin.'!$D$42:$AJ$42, 0) / 1000000</f>
        <v>0</v>
      </c>
      <c r="L216" s="14">
        <f>_xlfn.XLOOKUP(L$5, 'Project Playground Fin.'!$D$4:$AJ$4, 'Project Playground Fin.'!$D$42:$AJ$42, 0) / 1000000</f>
        <v>0</v>
      </c>
      <c r="M216" s="14">
        <f>_xlfn.XLOOKUP(M$5, 'Project Playground Fin.'!$D$4:$AJ$4, 'Project Playground Fin.'!$D$42:$AJ$42, 0) / 1000000</f>
        <v>0</v>
      </c>
      <c r="N216" s="14">
        <f>_xlfn.XLOOKUP(N$5, 'Project Playground Fin.'!$D$4:$AJ$4, 'Project Playground Fin.'!$D$42:$AJ$42, 0) / 1000000</f>
        <v>0</v>
      </c>
      <c r="O216" s="14">
        <f>_xlfn.XLOOKUP(O$5, 'Project Playground Fin.'!$D$4:$AJ$4, 'Project Playground Fin.'!$D$42:$AJ$42, 0) / 1000000</f>
        <v>0</v>
      </c>
    </row>
    <row r="217" spans="3:15">
      <c r="C217" s="228"/>
      <c r="D217" s="229" t="s">
        <v>474</v>
      </c>
      <c r="E217" s="500"/>
      <c r="F217" s="500">
        <f>_xlfn.XLOOKUP(F$5, 'Project Playground Fin.'!$D$4:$AJ$4, 'Project Playground Fin.'!$D$59:$AJ$59, 0) / 1000000</f>
        <v>0</v>
      </c>
      <c r="G217" s="230">
        <f>_xlfn.XLOOKUP(G$5, 'Project Playground Fin.'!$D$4:$AJ$4, 'Project Playground Fin.'!$D$59:$AJ$59, 0) / 1000000</f>
        <v>0</v>
      </c>
      <c r="H217" s="230">
        <f>_xlfn.XLOOKUP(H$5, 'Project Playground Fin.'!$D$4:$AJ$4, 'Project Playground Fin.'!$D$59:$AJ$59, 0) / 1000000</f>
        <v>0</v>
      </c>
      <c r="I217" s="230">
        <f>_xlfn.XLOOKUP(I$5, 'Project Playground Fin.'!$D$4:$AJ$4, 'Project Playground Fin.'!$D$59:$AJ$59, 0) / 1000000</f>
        <v>0</v>
      </c>
      <c r="J217" s="230">
        <f>_xlfn.XLOOKUP(J$5, 'Project Playground Fin.'!$D$4:$AJ$4, 'Project Playground Fin.'!$D$59:$AJ$59, 0) / 1000000</f>
        <v>0</v>
      </c>
      <c r="K217" s="230">
        <f>_xlfn.XLOOKUP(K$5, 'Project Playground Fin.'!$D$4:$AJ$4, 'Project Playground Fin.'!$D$59:$AJ$59, 0) / 1000000</f>
        <v>0</v>
      </c>
      <c r="L217" s="230">
        <f>_xlfn.XLOOKUP(L$5, 'Project Playground Fin.'!$D$4:$AJ$4, 'Project Playground Fin.'!$D$59:$AJ$59, 0) / 1000000</f>
        <v>0</v>
      </c>
      <c r="M217" s="230">
        <f>_xlfn.XLOOKUP(M$5, 'Project Playground Fin.'!$D$4:$AJ$4, 'Project Playground Fin.'!$D$59:$AJ$59, 0) / 1000000</f>
        <v>0</v>
      </c>
      <c r="N217" s="230">
        <f>_xlfn.XLOOKUP(N$5, 'Project Playground Fin.'!$D$4:$AJ$4, 'Project Playground Fin.'!$D$59:$AJ$59, 0) / 1000000</f>
        <v>0</v>
      </c>
      <c r="O217" s="230">
        <f>_xlfn.XLOOKUP(O$5, 'Project Playground Fin.'!$D$4:$AJ$4, 'Project Playground Fin.'!$D$59:$AJ$59, 0) / 1000000</f>
        <v>0</v>
      </c>
    </row>
    <row r="218" spans="3:15" s="100" customFormat="1">
      <c r="D218" s="100" t="s">
        <v>475</v>
      </c>
      <c r="E218" s="223"/>
      <c r="F218" s="223">
        <f t="shared" ref="F218" si="136">E218+F215-F216</f>
        <v>0</v>
      </c>
      <c r="G218" s="565">
        <f t="shared" ref="G218" si="137">F218+G215-G216</f>
        <v>0</v>
      </c>
      <c r="H218" s="565">
        <f t="shared" ref="H218" si="138">G218+H215-H216</f>
        <v>0</v>
      </c>
      <c r="I218" s="223">
        <f t="shared" ref="I218" si="139">H218+I215-I216</f>
        <v>0</v>
      </c>
      <c r="J218" s="223">
        <f t="shared" ref="J218" si="140">I218+J215-J216</f>
        <v>0</v>
      </c>
      <c r="K218" s="223">
        <f t="shared" ref="K218" si="141">J218+K215-K216</f>
        <v>0</v>
      </c>
      <c r="L218" s="565">
        <f t="shared" ref="L218" si="142">K218+L215-L216</f>
        <v>0</v>
      </c>
      <c r="M218" s="223">
        <f t="shared" ref="M218" si="143">L218+M215-M216</f>
        <v>0</v>
      </c>
      <c r="N218" s="223">
        <f t="shared" ref="N218" si="144">M218+N215-N216</f>
        <v>0</v>
      </c>
      <c r="O218" s="223">
        <f t="shared" ref="O218" si="145">N218+O215-O216</f>
        <v>0</v>
      </c>
    </row>
    <row r="219" spans="3:15" ht="3.75" customHeight="1">
      <c r="E219" s="14"/>
      <c r="F219" s="14"/>
      <c r="G219" s="14"/>
      <c r="H219" s="14"/>
      <c r="I219" s="14"/>
      <c r="J219" s="14"/>
      <c r="K219" s="14"/>
      <c r="L219" s="14"/>
      <c r="M219" s="14"/>
      <c r="N219" s="14"/>
      <c r="O219" s="14"/>
    </row>
    <row r="220" spans="3:15">
      <c r="D220" s="288" t="s">
        <v>488</v>
      </c>
      <c r="E220" s="288"/>
      <c r="F220" s="289">
        <f>F193+F201+F210+F218</f>
        <v>0</v>
      </c>
      <c r="G220" s="289">
        <f t="shared" ref="G220:O220" si="146">G193+G201+G210+G218</f>
        <v>92.163140650341958</v>
      </c>
      <c r="H220" s="289">
        <f t="shared" si="146"/>
        <v>179.04894072300976</v>
      </c>
      <c r="I220" s="289">
        <f t="shared" si="146"/>
        <v>279.50712376817114</v>
      </c>
      <c r="J220" s="289">
        <f t="shared" si="146"/>
        <v>401.41322608362293</v>
      </c>
      <c r="K220" s="289">
        <f t="shared" si="146"/>
        <v>354.64157778529415</v>
      </c>
      <c r="L220" s="289">
        <f t="shared" si="146"/>
        <v>333.57350259411101</v>
      </c>
      <c r="M220" s="289">
        <f t="shared" si="146"/>
        <v>248.95855777886675</v>
      </c>
      <c r="N220" s="289">
        <f t="shared" si="146"/>
        <v>227.64385658038529</v>
      </c>
      <c r="O220" s="289">
        <f t="shared" si="146"/>
        <v>206.74972176337991</v>
      </c>
    </row>
    <row r="221" spans="3:15" ht="14.25" thickBot="1">
      <c r="D221" s="287" t="s">
        <v>489</v>
      </c>
      <c r="E221" s="285"/>
      <c r="F221" s="285"/>
      <c r="G221" s="286">
        <f>G220-F220</f>
        <v>92.163140650341958</v>
      </c>
      <c r="H221" s="286">
        <f t="shared" ref="H221:O221" si="147">H220-G220</f>
        <v>86.885800072667806</v>
      </c>
      <c r="I221" s="286">
        <f t="shared" si="147"/>
        <v>100.45818304516138</v>
      </c>
      <c r="J221" s="286">
        <f t="shared" si="147"/>
        <v>121.90610231545179</v>
      </c>
      <c r="K221" s="286">
        <f t="shared" si="147"/>
        <v>-46.771648298328785</v>
      </c>
      <c r="L221" s="286">
        <f t="shared" si="147"/>
        <v>-21.068075191183141</v>
      </c>
      <c r="M221" s="286">
        <f t="shared" si="147"/>
        <v>-84.614944815244257</v>
      </c>
      <c r="N221" s="286">
        <f t="shared" si="147"/>
        <v>-21.314701198481458</v>
      </c>
      <c r="O221" s="286">
        <f t="shared" si="147"/>
        <v>-20.89413481700538</v>
      </c>
    </row>
    <row r="222" spans="3:15" ht="14.25" thickTop="1">
      <c r="F222" s="132"/>
      <c r="G222" s="263"/>
      <c r="H222" s="263"/>
      <c r="I222" s="263"/>
      <c r="J222" s="263"/>
      <c r="K222" s="263"/>
      <c r="L222" s="263"/>
      <c r="M222" s="263"/>
      <c r="N222" s="263"/>
      <c r="O222" s="263"/>
    </row>
    <row r="223" spans="3:15">
      <c r="F223" s="505">
        <f>'Balance Sheet'!F28-'Balance Sheet'!E28</f>
        <v>155.87734748333332</v>
      </c>
      <c r="G223" s="505">
        <f>'Balance Sheet'!G28-'Balance Sheet'!F28</f>
        <v>189.84335301183336</v>
      </c>
      <c r="H223" s="505">
        <f>'Balance Sheet'!H28-'Balance Sheet'!G28</f>
        <v>231.91987005816668</v>
      </c>
      <c r="I223" s="505">
        <f>'Balance Sheet'!I28-'Balance Sheet'!H28</f>
        <v>44.46217465366658</v>
      </c>
      <c r="J223" s="505">
        <f>'Balance Sheet'!J28-'Balance Sheet'!I28</f>
        <v>-46.726910224533299</v>
      </c>
      <c r="K223" s="505">
        <f>'Balance Sheet'!K28-'Balance Sheet'!J28</f>
        <v>-80.218739445899928</v>
      </c>
      <c r="L223" s="505">
        <f>'Balance Sheet'!L28-'Balance Sheet'!K28</f>
        <v>-112.69806866726685</v>
      </c>
      <c r="M223" s="505">
        <f>'Balance Sheet'!M28-'Balance Sheet'!L28</f>
        <v>-121.42739788863321</v>
      </c>
      <c r="N223" s="505">
        <f>'Balance Sheet'!N28-'Balance Sheet'!M28</f>
        <v>-130.15672711000013</v>
      </c>
      <c r="O223" s="505">
        <f>'Balance Sheet'!O28-'Balance Sheet'!N28</f>
        <v>-213.07490187066651</v>
      </c>
    </row>
    <row r="225" spans="4:15">
      <c r="F225" s="8">
        <f>'Project Playground ROI'!H8</f>
        <v>0</v>
      </c>
    </row>
    <row r="226" spans="4:15">
      <c r="G226" s="263">
        <f>+G215+G207+G198+G92</f>
        <v>120.11444800100907</v>
      </c>
      <c r="H226" s="263">
        <f t="shared" ref="H226:L226" si="148">+H215+H207+H198+H92</f>
        <v>109.6903119996216</v>
      </c>
      <c r="I226" s="263">
        <f t="shared" si="148"/>
        <v>146.16083999936933</v>
      </c>
      <c r="J226" s="263">
        <f t="shared" si="148"/>
        <v>176.9914</v>
      </c>
      <c r="K226" s="263">
        <f t="shared" si="148"/>
        <v>21</v>
      </c>
      <c r="L226" s="263">
        <f t="shared" si="148"/>
        <v>6</v>
      </c>
    </row>
    <row r="229" spans="4:15">
      <c r="G229" s="263">
        <f>+G158+G199+G208+G216</f>
        <v>27.951307350667122</v>
      </c>
      <c r="H229" s="263">
        <f t="shared" ref="H229:O229" si="149">+H158+H199+H208+H216</f>
        <v>22.804511926953801</v>
      </c>
      <c r="I229" s="263">
        <f t="shared" si="149"/>
        <v>45.702656954207932</v>
      </c>
      <c r="J229" s="263">
        <f t="shared" si="149"/>
        <v>55.085297684548209</v>
      </c>
      <c r="K229" s="263">
        <f t="shared" si="149"/>
        <v>51.490914369520262</v>
      </c>
      <c r="L229" s="263">
        <f t="shared" si="149"/>
        <v>51.168075191183142</v>
      </c>
      <c r="M229" s="263">
        <f t="shared" si="149"/>
        <v>84.614944815244286</v>
      </c>
      <c r="N229" s="263">
        <f t="shared" si="149"/>
        <v>21.314701198481451</v>
      </c>
      <c r="O229" s="263">
        <f t="shared" si="149"/>
        <v>20.894134817005384</v>
      </c>
    </row>
    <row r="230" spans="4:15">
      <c r="G230" s="263">
        <f>+G176+G200+G209+G217</f>
        <v>12.953733760121089</v>
      </c>
      <c r="H230" s="263">
        <f t="shared" ref="H230:O230" si="150">+H176+H200+H209+H217</f>
        <v>19.11335383173645</v>
      </c>
      <c r="I230" s="263">
        <f t="shared" si="150"/>
        <v>25.971591796843249</v>
      </c>
      <c r="J230" s="263">
        <f t="shared" si="150"/>
        <v>29.609880368052437</v>
      </c>
      <c r="K230" s="263">
        <f t="shared" si="150"/>
        <v>42.968663778700758</v>
      </c>
      <c r="L230" s="263">
        <f t="shared" si="150"/>
        <v>39.972073999595032</v>
      </c>
      <c r="M230" s="263">
        <f t="shared" si="150"/>
        <v>35.160521184287042</v>
      </c>
      <c r="N230" s="263">
        <f t="shared" si="150"/>
        <v>25.995798208613245</v>
      </c>
      <c r="O230" s="263">
        <f t="shared" si="150"/>
        <v>23.778389782141858</v>
      </c>
    </row>
    <row r="231" spans="4:15">
      <c r="G231" s="263">
        <f>+G229+G230</f>
        <v>40.905041110788211</v>
      </c>
      <c r="H231" s="263">
        <f t="shared" ref="H231:L231" si="151">+H229+H230</f>
        <v>41.917865758690255</v>
      </c>
      <c r="I231" s="263">
        <f t="shared" si="151"/>
        <v>71.674248751051181</v>
      </c>
      <c r="J231" s="263">
        <f t="shared" si="151"/>
        <v>84.695178052600653</v>
      </c>
      <c r="K231" s="263">
        <f t="shared" si="151"/>
        <v>94.459578148221027</v>
      </c>
      <c r="L231" s="263">
        <f t="shared" si="151"/>
        <v>91.140149190778175</v>
      </c>
    </row>
    <row r="233" spans="4:15">
      <c r="D233" s="8" t="s">
        <v>693</v>
      </c>
      <c r="G233" s="263">
        <f>+G92+G198+G207+G215</f>
        <v>120.11444800100907</v>
      </c>
      <c r="H233" s="263">
        <f t="shared" ref="H233:L233" si="152">+H92+H198+H207+H215</f>
        <v>109.6903119996216</v>
      </c>
      <c r="I233" s="263">
        <f t="shared" si="152"/>
        <v>146.16083999936933</v>
      </c>
      <c r="J233" s="263">
        <f t="shared" si="152"/>
        <v>176.9914</v>
      </c>
      <c r="K233" s="263">
        <f t="shared" si="152"/>
        <v>21</v>
      </c>
      <c r="L233" s="263">
        <f t="shared" si="152"/>
        <v>6</v>
      </c>
    </row>
    <row r="234" spans="4:15">
      <c r="D234" s="8" t="s">
        <v>694</v>
      </c>
      <c r="G234" s="263">
        <f>+G158+G199+G208+G216</f>
        <v>27.951307350667122</v>
      </c>
      <c r="H234" s="263">
        <f t="shared" ref="H234:L234" si="153">+H158+H199+H208+H216</f>
        <v>22.804511926953801</v>
      </c>
      <c r="I234" s="263">
        <f t="shared" si="153"/>
        <v>45.702656954207932</v>
      </c>
      <c r="J234" s="263">
        <f t="shared" si="153"/>
        <v>55.085297684548209</v>
      </c>
      <c r="K234" s="263">
        <f t="shared" si="153"/>
        <v>51.490914369520262</v>
      </c>
      <c r="L234" s="263">
        <f t="shared" si="153"/>
        <v>51.168075191183142</v>
      </c>
    </row>
    <row r="235" spans="4:15">
      <c r="D235" s="8" t="s">
        <v>695</v>
      </c>
      <c r="G235" s="263">
        <f>+G176+G200+G209+G217</f>
        <v>12.953733760121089</v>
      </c>
      <c r="H235" s="263">
        <f t="shared" ref="H235:L235" si="154">+H176+H200+H209+H217</f>
        <v>19.11335383173645</v>
      </c>
      <c r="I235" s="263">
        <f t="shared" si="154"/>
        <v>25.971591796843249</v>
      </c>
      <c r="J235" s="263">
        <f t="shared" si="154"/>
        <v>29.609880368052437</v>
      </c>
      <c r="K235" s="263">
        <f t="shared" si="154"/>
        <v>42.968663778700758</v>
      </c>
      <c r="L235" s="263">
        <f t="shared" si="154"/>
        <v>39.972073999595032</v>
      </c>
    </row>
    <row r="236" spans="4:15">
      <c r="G236" s="263">
        <f>+G234+G235</f>
        <v>40.905041110788211</v>
      </c>
      <c r="H236" s="263">
        <f t="shared" ref="H236:L236" si="155">+H234+H235</f>
        <v>41.917865758690255</v>
      </c>
      <c r="I236" s="263">
        <f t="shared" si="155"/>
        <v>71.674248751051181</v>
      </c>
      <c r="J236" s="263">
        <f t="shared" si="155"/>
        <v>84.695178052600653</v>
      </c>
      <c r="K236" s="263">
        <f t="shared" si="155"/>
        <v>94.459578148221027</v>
      </c>
      <c r="L236" s="263">
        <f t="shared" si="155"/>
        <v>91.140149190778175</v>
      </c>
    </row>
  </sheetData>
  <pageMargins left="0.7" right="0.7" top="0.75" bottom="0.75" header="0.3" footer="0.3"/>
  <pageSetup scale="65" fitToHeight="0"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E5623-D193-4DA3-B7ED-596AA1A4893E}">
  <sheetPr>
    <tabColor theme="7" tint="0.79998168889431442"/>
    <pageSetUpPr fitToPage="1"/>
  </sheetPr>
  <dimension ref="A1:S39"/>
  <sheetViews>
    <sheetView workbookViewId="0">
      <selection activeCell="H28" sqref="H28"/>
    </sheetView>
  </sheetViews>
  <sheetFormatPr defaultColWidth="0" defaultRowHeight="15" zeroHeight="1"/>
  <cols>
    <col min="1" max="3" width="1.5546875" customWidth="1"/>
    <col min="4" max="4" width="32.44140625" customWidth="1"/>
    <col min="5" max="13" width="10.6640625" customWidth="1"/>
    <col min="14" max="15" width="1.5546875" customWidth="1"/>
    <col min="16" max="19" width="0" hidden="1" customWidth="1"/>
    <col min="20" max="16384" width="8.5546875" hidden="1"/>
  </cols>
  <sheetData>
    <row r="1" spans="1:17" ht="35.25">
      <c r="A1" s="452"/>
      <c r="B1" s="10" t="s">
        <v>86</v>
      </c>
      <c r="C1" s="10"/>
      <c r="D1" s="10"/>
      <c r="E1" s="11"/>
      <c r="F1" s="11"/>
      <c r="G1" s="11"/>
      <c r="H1" s="11"/>
      <c r="I1" s="11"/>
      <c r="J1" s="11"/>
      <c r="K1" s="11"/>
      <c r="L1" s="11"/>
      <c r="M1" s="11"/>
      <c r="N1" s="11"/>
      <c r="O1" s="11"/>
      <c r="P1" s="11"/>
      <c r="Q1" s="11"/>
    </row>
    <row r="2" spans="1:17" ht="21.75">
      <c r="A2" s="452"/>
      <c r="B2" s="123" t="s">
        <v>261</v>
      </c>
      <c r="C2" s="123"/>
      <c r="D2" s="123"/>
      <c r="E2" s="11"/>
      <c r="F2" s="11"/>
      <c r="G2" s="11"/>
      <c r="H2" s="11"/>
      <c r="I2" s="11"/>
      <c r="J2" s="11"/>
      <c r="K2" s="11"/>
      <c r="L2" s="11"/>
      <c r="M2" s="11"/>
      <c r="N2" s="11"/>
      <c r="O2" s="11"/>
      <c r="P2" s="11"/>
      <c r="Q2" s="11"/>
    </row>
    <row r="3" spans="1:17">
      <c r="A3" s="8"/>
      <c r="B3" s="8"/>
      <c r="C3" s="8"/>
      <c r="D3" s="8"/>
      <c r="E3" s="8"/>
      <c r="F3" s="8"/>
      <c r="G3" s="8"/>
      <c r="H3" s="8"/>
      <c r="I3" s="8"/>
      <c r="J3" s="8"/>
      <c r="K3" s="8"/>
      <c r="L3" s="8"/>
      <c r="M3" s="8"/>
      <c r="O3" s="241"/>
    </row>
    <row r="4" spans="1:17">
      <c r="A4" s="92"/>
      <c r="B4" s="121" t="s">
        <v>368</v>
      </c>
      <c r="C4" s="121"/>
      <c r="D4" s="121"/>
      <c r="E4" s="122"/>
      <c r="F4" s="122"/>
      <c r="G4" s="122"/>
      <c r="H4" s="122"/>
      <c r="I4" s="122"/>
      <c r="J4" s="122"/>
      <c r="K4" s="122"/>
      <c r="L4" s="122"/>
      <c r="M4" s="122"/>
      <c r="O4" s="241"/>
    </row>
    <row r="5" spans="1:17">
      <c r="A5" s="92"/>
      <c r="B5" s="12" t="s">
        <v>93</v>
      </c>
      <c r="C5" s="12"/>
      <c r="D5" s="12"/>
      <c r="E5" s="13">
        <v>2023</v>
      </c>
      <c r="F5" s="13">
        <v>2024</v>
      </c>
      <c r="G5" s="13">
        <v>2025</v>
      </c>
      <c r="H5" s="13">
        <v>2026</v>
      </c>
      <c r="I5" s="13">
        <v>2027</v>
      </c>
      <c r="J5" s="13">
        <v>2028</v>
      </c>
      <c r="K5" s="13">
        <v>2029</v>
      </c>
      <c r="L5" s="13">
        <v>2030</v>
      </c>
      <c r="M5" s="13">
        <v>2031</v>
      </c>
      <c r="O5" s="241"/>
    </row>
    <row r="6" spans="1:17" ht="3.75" customHeight="1">
      <c r="A6" s="8"/>
      <c r="B6" s="100"/>
      <c r="C6" s="100"/>
      <c r="D6" s="8"/>
      <c r="E6" s="14"/>
      <c r="F6" s="14"/>
      <c r="G6" s="14"/>
      <c r="H6" s="14"/>
      <c r="I6" s="14"/>
      <c r="J6" s="14"/>
      <c r="K6" s="14"/>
      <c r="L6" s="14"/>
      <c r="M6" s="14"/>
      <c r="O6" s="241"/>
    </row>
    <row r="7" spans="1:17">
      <c r="A7" s="8"/>
      <c r="B7" s="236" t="s">
        <v>384</v>
      </c>
      <c r="C7" s="85"/>
      <c r="D7" s="85"/>
      <c r="O7" s="241"/>
    </row>
    <row r="8" spans="1:17">
      <c r="A8" s="8"/>
      <c r="B8" s="236"/>
      <c r="C8" s="236"/>
      <c r="D8" s="85" t="s">
        <v>237</v>
      </c>
      <c r="E8" s="242">
        <f>'Balance Sheet'!F$54 - 'Balance Sheet'!E$54</f>
        <v>-146.41152950696664</v>
      </c>
      <c r="F8" s="242">
        <f>'Balance Sheet'!G$54 - 'Balance Sheet'!F$54</f>
        <v>-121.56934826579754</v>
      </c>
      <c r="G8" s="242">
        <f>'Balance Sheet'!H$54 - 'Balance Sheet'!G$54</f>
        <v>-132.0920303431476</v>
      </c>
      <c r="H8" s="242">
        <f>'Balance Sheet'!I$54 - 'Balance Sheet'!H$54</f>
        <v>-90.224842662643709</v>
      </c>
      <c r="I8" s="242">
        <f>'Balance Sheet'!J$54 - 'Balance Sheet'!I$54</f>
        <v>-3.8514417520854067</v>
      </c>
      <c r="J8" s="242">
        <f>'Balance Sheet'!K$54 - 'Balance Sheet'!J$54</f>
        <v>2.8916418635946002</v>
      </c>
      <c r="K8" s="242">
        <f>'Balance Sheet'!L$54 - 'Balance Sheet'!K$54</f>
        <v>16.198954013129651</v>
      </c>
      <c r="L8" s="242">
        <f>'Balance Sheet'!M$54 - 'Balance Sheet'!L$54</f>
        <v>21.888681434461887</v>
      </c>
      <c r="M8" s="242">
        <f>'Balance Sheet'!N$54 - 'Balance Sheet'!M$54</f>
        <v>15.746862150893094</v>
      </c>
      <c r="O8" s="241"/>
    </row>
    <row r="9" spans="1:17">
      <c r="A9" s="8"/>
      <c r="B9" s="236"/>
      <c r="C9" s="236"/>
      <c r="D9" s="85" t="s">
        <v>82</v>
      </c>
      <c r="E9" s="242">
        <f>'CAPEX &amp; Financing'!G$63</f>
        <v>15.066666666666668</v>
      </c>
      <c r="F9" s="242">
        <f>'CAPEX &amp; Financing'!H$63</f>
        <v>24.682666666666666</v>
      </c>
      <c r="G9" s="242">
        <f>'CAPEX &amp; Financing'!I$63</f>
        <v>54.680471383333334</v>
      </c>
      <c r="H9" s="242">
        <f>'CAPEX &amp; Financing'!J$63</f>
        <v>88.995102183833325</v>
      </c>
      <c r="I9" s="242">
        <f>'CAPEX &amp; Financing'!K$63</f>
        <v>101.53276473853333</v>
      </c>
      <c r="J9" s="242">
        <f>'CAPEX &amp; Financing'!L$63</f>
        <v>112.7620939599</v>
      </c>
      <c r="K9" s="242">
        <f>'CAPEX &amp; Financing'!M$63</f>
        <v>121.49142318126667</v>
      </c>
      <c r="L9" s="242">
        <f>'CAPEX &amp; Financing'!N$63</f>
        <v>130.22075240263334</v>
      </c>
      <c r="M9" s="242">
        <f>'CAPEX &amp; Financing'!O$63</f>
        <v>138.95008162400001</v>
      </c>
      <c r="O9" s="241"/>
    </row>
    <row r="10" spans="1:17">
      <c r="A10" s="8"/>
      <c r="B10" s="236"/>
      <c r="C10" s="236"/>
      <c r="D10" s="85" t="s">
        <v>385</v>
      </c>
      <c r="E10" s="242">
        <f>-('Balance Sheet'!F$9 - 'Balance Sheet'!E$9)</f>
        <v>0.36305053856258152</v>
      </c>
      <c r="F10" s="242">
        <f>-('Balance Sheet'!G$9 - 'Balance Sheet'!F$9)</f>
        <v>-0.99513271908425427</v>
      </c>
      <c r="G10" s="242">
        <f>-('Balance Sheet'!H$9 - 'Balance Sheet'!G$9)</f>
        <v>-3.1255666291330471</v>
      </c>
      <c r="H10" s="242">
        <f>-('Balance Sheet'!I$9 - 'Balance Sheet'!H$9)</f>
        <v>-14.885502227598046</v>
      </c>
      <c r="I10" s="242">
        <f>-('Balance Sheet'!J$9 - 'Balance Sheet'!I$9)</f>
        <v>-18.446986380660555</v>
      </c>
      <c r="J10" s="242">
        <f>-('Balance Sheet'!K$9 - 'Balance Sheet'!J$9)</f>
        <v>-4.7035812885532309</v>
      </c>
      <c r="K10" s="242">
        <f>-('Balance Sheet'!L$9 - 'Balance Sheet'!K$9)</f>
        <v>-3.4712127310395076</v>
      </c>
      <c r="L10" s="242">
        <f>-('Balance Sheet'!M$9 - 'Balance Sheet'!L$9)</f>
        <v>-1.5012457451799293</v>
      </c>
      <c r="M10" s="242">
        <f>-('Balance Sheet'!N$9 - 'Balance Sheet'!M$9)</f>
        <v>-0.54324713560182403</v>
      </c>
      <c r="O10" s="241"/>
    </row>
    <row r="11" spans="1:17">
      <c r="A11" s="8"/>
      <c r="B11" s="236"/>
      <c r="C11" s="236"/>
      <c r="D11" s="85" t="s">
        <v>386</v>
      </c>
      <c r="E11" s="242">
        <f>('Balance Sheet'!F$43 - 'Balance Sheet'!E$43)</f>
        <v>10.763632038491259</v>
      </c>
      <c r="F11" s="242">
        <f>('Balance Sheet'!G$43 - 'Balance Sheet'!F$43)</f>
        <v>-0.64551595984361398</v>
      </c>
      <c r="G11" s="242">
        <f>('Balance Sheet'!H$43 - 'Balance Sheet'!G$43)</f>
        <v>3.3492130118322621</v>
      </c>
      <c r="H11" s="242">
        <f>('Balance Sheet'!I$43 - 'Balance Sheet'!H$43)</f>
        <v>12.114168299718088</v>
      </c>
      <c r="I11" s="242">
        <f>('Balance Sheet'!J$43 - 'Balance Sheet'!I$43)</f>
        <v>13.76914967715777</v>
      </c>
      <c r="J11" s="242">
        <f>('Balance Sheet'!K$43 - 'Balance Sheet'!J$43)</f>
        <v>5.5963254956815831</v>
      </c>
      <c r="K11" s="242">
        <f>('Balance Sheet'!L$43 - 'Balance Sheet'!K$43)</f>
        <v>2.9746552669606672</v>
      </c>
      <c r="L11" s="242">
        <f>('Balance Sheet'!M$43 - 'Balance Sheet'!L$43)</f>
        <v>1.697192991168464</v>
      </c>
      <c r="M11" s="242">
        <f>('Balance Sheet'!N$43 - 'Balance Sheet'!M$43)</f>
        <v>0.45883781593006745</v>
      </c>
      <c r="O11" s="241"/>
    </row>
    <row r="12" spans="1:17">
      <c r="A12" s="8"/>
      <c r="B12" s="236"/>
      <c r="C12" s="236"/>
      <c r="D12" s="85" t="s">
        <v>387</v>
      </c>
      <c r="E12" s="242">
        <f>-('Balance Sheet'!F$10 - 'Balance Sheet'!E$10)</f>
        <v>6.2121704109589029</v>
      </c>
      <c r="F12" s="242">
        <f>-('Balance Sheet'!G$10 - 'Balance Sheet'!F$10)</f>
        <v>-0.92135887671232908</v>
      </c>
      <c r="G12" s="242">
        <f>-('Balance Sheet'!H$10 - 'Balance Sheet'!G$10)</f>
        <v>-1.9213777107096401</v>
      </c>
      <c r="H12" s="242">
        <f>-('Balance Sheet'!I$10 - 'Balance Sheet'!H$10)</f>
        <v>-4.9449713085742744</v>
      </c>
      <c r="I12" s="242">
        <f>-('Balance Sheet'!J$10 - 'Balance Sheet'!I$10)</f>
        <v>0.80162733367516026</v>
      </c>
      <c r="J12" s="242">
        <f>-('Balance Sheet'!K$10 - 'Balance Sheet'!J$10)</f>
        <v>-1.7962364574077565</v>
      </c>
      <c r="K12" s="242">
        <f>-('Balance Sheet'!L$10 - 'Balance Sheet'!K$10)</f>
        <v>-0.9361965387010418</v>
      </c>
      <c r="L12" s="242">
        <f>-('Balance Sheet'!M$10 - 'Balance Sheet'!L$10)</f>
        <v>-0.49818057640985813</v>
      </c>
      <c r="M12" s="242">
        <f>-('Balance Sheet'!N$10 - 'Balance Sheet'!M$10)</f>
        <v>-6.2781962659148149E-2</v>
      </c>
      <c r="O12" s="241"/>
    </row>
    <row r="13" spans="1:17">
      <c r="B13" s="236" t="s">
        <v>388</v>
      </c>
      <c r="C13" s="236"/>
      <c r="D13" s="85"/>
      <c r="E13" s="555">
        <f t="shared" ref="E13:K13" si="0">SUM(E8:E12)</f>
        <v>-114.00600985228722</v>
      </c>
      <c r="F13" s="555">
        <f t="shared" si="0"/>
        <v>-99.448689154771074</v>
      </c>
      <c r="G13" s="555">
        <f t="shared" si="0"/>
        <v>-79.109290287824692</v>
      </c>
      <c r="H13" s="555">
        <f t="shared" si="0"/>
        <v>-8.9460457152646171</v>
      </c>
      <c r="I13" s="555">
        <f t="shared" si="0"/>
        <v>93.805113616620304</v>
      </c>
      <c r="J13" s="555">
        <f t="shared" si="0"/>
        <v>114.75024357321519</v>
      </c>
      <c r="K13" s="555">
        <f t="shared" si="0"/>
        <v>136.25762319161643</v>
      </c>
      <c r="L13" s="555">
        <f t="shared" ref="L13:M13" si="1">SUM(L8:L12)</f>
        <v>151.80720050667389</v>
      </c>
      <c r="M13" s="555">
        <f t="shared" si="1"/>
        <v>154.54975249256219</v>
      </c>
      <c r="O13" s="241"/>
    </row>
    <row r="14" spans="1:17">
      <c r="B14" s="236"/>
      <c r="C14" s="236"/>
      <c r="D14" s="85"/>
      <c r="O14" s="241"/>
    </row>
    <row r="15" spans="1:17">
      <c r="B15" s="236" t="s">
        <v>389</v>
      </c>
      <c r="C15" s="236"/>
      <c r="D15" s="85"/>
      <c r="E15" s="555">
        <f>-(SUM('Balance Sheet'!F$16:F$26) - SUM('Balance Sheet'!E$16:E$26)) - ('Balance Sheet'!F$33 - 'Balance Sheet'!E$33)</f>
        <v>-170.94401414999999</v>
      </c>
      <c r="F15" s="555">
        <f>-(SUM('Balance Sheet'!G$16:G$26) - SUM('Balance Sheet'!F$16:F$26)) - ('Balance Sheet'!G$33 - 'Balance Sheet'!F$33)</f>
        <v>-214.52601967850001</v>
      </c>
      <c r="G15" s="563">
        <f>-(SUM('Balance Sheet'!H$16:H$26) - SUM('Balance Sheet'!G$16:G$26)) - ('Balance Sheet'!H$33 - 'Balance Sheet'!G$33)</f>
        <v>-286.60034144150006</v>
      </c>
      <c r="H15" s="555">
        <f>-(SUM('Balance Sheet'!I$16:I$26) - SUM('Balance Sheet'!H$16:H$26)) - ('Balance Sheet'!I$33 - 'Balance Sheet'!H$33)</f>
        <v>-133.45727683749988</v>
      </c>
      <c r="I15" s="555">
        <f>-(SUM('Balance Sheet'!J$16:J$26) - SUM('Balance Sheet'!I$16:I$26)) - ('Balance Sheet'!J$33 - 'Balance Sheet'!I$33)</f>
        <v>-54.805854514000089</v>
      </c>
      <c r="J15" s="555">
        <f>-(SUM('Balance Sheet'!K$16:K$26) - SUM('Balance Sheet'!J$16:J$26)) - ('Balance Sheet'!K$33 - 'Balance Sheet'!J$33)</f>
        <v>-32.543354514000043</v>
      </c>
      <c r="K15" s="555">
        <f>-(SUM('Balance Sheet'!L$16:L$26) - SUM('Balance Sheet'!K$16:K$26)) - ('Balance Sheet'!L$33 - 'Balance Sheet'!K$33)</f>
        <v>-8.7933545139998159</v>
      </c>
      <c r="L15" s="555">
        <f>-(SUM('Balance Sheet'!M$16:M$26) - SUM('Balance Sheet'!L$16:L$26)) - ('Balance Sheet'!M$33 - 'Balance Sheet'!L$33)</f>
        <v>-8.793354514000157</v>
      </c>
      <c r="M15" s="555">
        <f>-(SUM('Balance Sheet'!N$16:N$26) - SUM('Balance Sheet'!M$16:M$26)) - ('Balance Sheet'!N$33 - 'Balance Sheet'!M$33)</f>
        <v>-8.7933545139999296</v>
      </c>
      <c r="O15" s="241"/>
    </row>
    <row r="16" spans="1:17">
      <c r="B16" s="236"/>
      <c r="C16" s="236"/>
      <c r="D16" s="85"/>
      <c r="O16" s="241"/>
    </row>
    <row r="17" spans="2:15">
      <c r="B17" s="236" t="s">
        <v>390</v>
      </c>
      <c r="C17" s="236"/>
      <c r="D17" s="85"/>
      <c r="E17" s="562"/>
      <c r="O17" s="241"/>
    </row>
    <row r="18" spans="2:15">
      <c r="B18" s="236"/>
      <c r="C18" s="236"/>
      <c r="D18" s="85" t="s">
        <v>391</v>
      </c>
      <c r="E18" s="244">
        <f>('Balance Sheet'!F$49 - 'Balance Sheet'!E$49)</f>
        <v>92.163140650341973</v>
      </c>
      <c r="F18" s="571">
        <f>('Balance Sheet'!G$49 - 'Balance Sheet'!F$49)</f>
        <v>86.885800072667791</v>
      </c>
      <c r="G18" s="244">
        <f>('Balance Sheet'!H$49 - 'Balance Sheet'!G$49)</f>
        <v>100.45818304516138</v>
      </c>
      <c r="H18" s="244">
        <f>('Balance Sheet'!I$49 - 'Balance Sheet'!H$49)</f>
        <v>121.90610231545179</v>
      </c>
      <c r="I18" s="244">
        <f>('Balance Sheet'!J$49 - 'Balance Sheet'!I$49)</f>
        <v>-46.771648298328785</v>
      </c>
      <c r="J18" s="244">
        <f>('Balance Sheet'!K$49 - 'Balance Sheet'!J$49)</f>
        <v>-21.068075191183141</v>
      </c>
      <c r="K18" s="244">
        <f>('Balance Sheet'!L$49 - 'Balance Sheet'!K$49)</f>
        <v>-84.614944815244257</v>
      </c>
      <c r="L18" s="244">
        <f>('Balance Sheet'!M$49 - 'Balance Sheet'!L$49)</f>
        <v>-21.31470119848143</v>
      </c>
      <c r="M18" s="244">
        <f>('Balance Sheet'!N$49 - 'Balance Sheet'!M$49)</f>
        <v>-20.894134817005408</v>
      </c>
      <c r="O18" s="241"/>
    </row>
    <row r="19" spans="2:15">
      <c r="B19" s="236"/>
      <c r="C19" s="236"/>
      <c r="D19" s="85" t="s">
        <v>332</v>
      </c>
      <c r="E19" s="244">
        <f>(SUM('Balance Sheet'!F$52:F$53) - SUM('Balance Sheet'!E$52:E$53))</f>
        <v>500</v>
      </c>
      <c r="F19" s="244">
        <f>(SUM('Balance Sheet'!G$52:G$53) - SUM('Balance Sheet'!F$52:F$53))</f>
        <v>44.716768453499981</v>
      </c>
      <c r="G19" s="244">
        <f>(SUM('Balance Sheet'!H$52:H$53) - SUM('Balance Sheet'!G$52:G$53))</f>
        <v>47.009936066499904</v>
      </c>
      <c r="H19" s="244">
        <f>(SUM('Balance Sheet'!I$52:I$53) - SUM('Balance Sheet'!H$52:H$53))</f>
        <v>22.931676130000142</v>
      </c>
      <c r="I19" s="244">
        <f>(SUM('Balance Sheet'!J$52:J$53) - SUM('Balance Sheet'!I$52:I$53))</f>
        <v>11.25</v>
      </c>
      <c r="J19" s="244">
        <f>(SUM('Balance Sheet'!K$52:K$53) - SUM('Balance Sheet'!J$52:J$53))</f>
        <v>13.75</v>
      </c>
      <c r="K19" s="244">
        <f>(SUM('Balance Sheet'!L$52:L$53) - SUM('Balance Sheet'!K$52:K$53))</f>
        <v>0</v>
      </c>
      <c r="L19" s="244">
        <f>(SUM('Balance Sheet'!M$52:M$53) - SUM('Balance Sheet'!L$52:L$53))</f>
        <v>0</v>
      </c>
      <c r="M19" s="244">
        <f>(SUM('Balance Sheet'!N$52:N$53) - SUM('Balance Sheet'!M$52:M$53))</f>
        <v>0</v>
      </c>
      <c r="O19" s="241"/>
    </row>
    <row r="20" spans="2:15">
      <c r="B20" s="236" t="s">
        <v>392</v>
      </c>
      <c r="C20" s="236"/>
      <c r="D20" s="85"/>
      <c r="E20" s="243">
        <f t="shared" ref="E20:K20" si="2">SUM(E18:E19)</f>
        <v>592.16314065034203</v>
      </c>
      <c r="F20" s="243">
        <f t="shared" si="2"/>
        <v>131.60256852616777</v>
      </c>
      <c r="G20" s="243">
        <f t="shared" si="2"/>
        <v>147.46811911166128</v>
      </c>
      <c r="H20" s="243">
        <f t="shared" si="2"/>
        <v>144.83777844545193</v>
      </c>
      <c r="I20" s="243">
        <f t="shared" si="2"/>
        <v>-35.521648298328785</v>
      </c>
      <c r="J20" s="243">
        <f t="shared" si="2"/>
        <v>-7.3180751911831408</v>
      </c>
      <c r="K20" s="243">
        <f t="shared" si="2"/>
        <v>-84.614944815244257</v>
      </c>
      <c r="L20" s="243">
        <f t="shared" ref="L20:M20" si="3">SUM(L18:L19)</f>
        <v>-21.31470119848143</v>
      </c>
      <c r="M20" s="243">
        <f t="shared" si="3"/>
        <v>-20.894134817005408</v>
      </c>
      <c r="O20" s="241"/>
    </row>
    <row r="21" spans="2:15">
      <c r="B21" s="236"/>
      <c r="C21" s="236"/>
      <c r="D21" s="85"/>
      <c r="O21" s="241"/>
    </row>
    <row r="22" spans="2:15">
      <c r="B22" s="236" t="s">
        <v>393</v>
      </c>
      <c r="C22" s="236"/>
      <c r="D22" s="85"/>
      <c r="E22" s="243">
        <f t="shared" ref="E22:M22" si="4">E$13 + E$15 + E$20</f>
        <v>307.21311664805484</v>
      </c>
      <c r="F22" s="243">
        <f t="shared" si="4"/>
        <v>-182.37214030710328</v>
      </c>
      <c r="G22" s="243">
        <f t="shared" si="4"/>
        <v>-218.24151261766349</v>
      </c>
      <c r="H22" s="243">
        <f t="shared" si="4"/>
        <v>2.4344558926874242</v>
      </c>
      <c r="I22" s="243">
        <f t="shared" si="4"/>
        <v>3.4776108042914302</v>
      </c>
      <c r="J22" s="243">
        <f t="shared" si="4"/>
        <v>74.888813868032003</v>
      </c>
      <c r="K22" s="243">
        <f t="shared" si="4"/>
        <v>42.849323862372358</v>
      </c>
      <c r="L22" s="243">
        <f t="shared" si="4"/>
        <v>121.69914479419231</v>
      </c>
      <c r="M22" s="243">
        <f t="shared" si="4"/>
        <v>124.86226316155685</v>
      </c>
      <c r="O22" s="241"/>
    </row>
    <row r="23" spans="2:15">
      <c r="B23" s="237" t="s">
        <v>394</v>
      </c>
      <c r="C23" s="237"/>
      <c r="D23" s="238"/>
      <c r="E23" s="568">
        <f>'Balance Sheet'!$E$8</f>
        <v>175.20000000000005</v>
      </c>
      <c r="F23" s="568">
        <f t="shared" ref="F23:K23" si="5">E$24</f>
        <v>482.41311664805488</v>
      </c>
      <c r="G23" s="568">
        <f t="shared" si="5"/>
        <v>300.0409763409516</v>
      </c>
      <c r="H23" s="568">
        <f t="shared" si="5"/>
        <v>81.799463723288113</v>
      </c>
      <c r="I23" s="568">
        <f t="shared" si="5"/>
        <v>84.233919615975537</v>
      </c>
      <c r="J23" s="568">
        <f t="shared" si="5"/>
        <v>87.711530420266968</v>
      </c>
      <c r="K23" s="568">
        <f t="shared" si="5"/>
        <v>162.60034428829897</v>
      </c>
      <c r="L23" s="568">
        <f t="shared" ref="L23" si="6">K$24</f>
        <v>205.44966815067133</v>
      </c>
      <c r="M23" s="568">
        <f t="shared" ref="M23" si="7">L$24</f>
        <v>327.14881294486361</v>
      </c>
      <c r="O23" s="241"/>
    </row>
    <row r="24" spans="2:15">
      <c r="B24" s="239" t="s">
        <v>395</v>
      </c>
      <c r="C24" s="239"/>
      <c r="D24" s="240"/>
      <c r="E24" s="569">
        <f>E$23 + E22</f>
        <v>482.41311664805488</v>
      </c>
      <c r="F24" s="569">
        <f t="shared" ref="F24:K24" si="8">F$23 + F22</f>
        <v>300.0409763409516</v>
      </c>
      <c r="G24" s="569">
        <f t="shared" si="8"/>
        <v>81.799463723288113</v>
      </c>
      <c r="H24" s="569">
        <f t="shared" si="8"/>
        <v>84.233919615975537</v>
      </c>
      <c r="I24" s="569">
        <f t="shared" si="8"/>
        <v>87.711530420266968</v>
      </c>
      <c r="J24" s="569">
        <f t="shared" si="8"/>
        <v>162.60034428829897</v>
      </c>
      <c r="K24" s="569">
        <f t="shared" si="8"/>
        <v>205.44966815067133</v>
      </c>
      <c r="L24" s="569">
        <f t="shared" ref="L24:M24" si="9">L$23 + L22</f>
        <v>327.14881294486361</v>
      </c>
      <c r="M24" s="569">
        <f t="shared" si="9"/>
        <v>452.01107610642043</v>
      </c>
      <c r="O24" s="241"/>
    </row>
    <row r="25" spans="2:15">
      <c r="B25" s="236"/>
      <c r="C25" s="236"/>
      <c r="D25" s="85"/>
      <c r="E25" s="396"/>
      <c r="F25" s="396"/>
      <c r="G25" s="396"/>
      <c r="H25" s="396"/>
      <c r="I25" s="396"/>
      <c r="J25" s="396"/>
      <c r="K25" s="396"/>
      <c r="L25" s="396"/>
      <c r="M25" s="396"/>
      <c r="O25" s="241"/>
    </row>
    <row r="26" spans="2:15">
      <c r="D26" s="280" t="s">
        <v>98</v>
      </c>
      <c r="E26" s="570">
        <f>E24-'Balance Sheet'!F8</f>
        <v>0</v>
      </c>
      <c r="F26" s="570">
        <f>F24-'Balance Sheet'!G8</f>
        <v>0</v>
      </c>
      <c r="G26" s="570">
        <f>G24-'Balance Sheet'!H8</f>
        <v>1.1368683772161603E-13</v>
      </c>
      <c r="H26" s="570">
        <f>H24-'Balance Sheet'!I8</f>
        <v>2.2737367544323206E-13</v>
      </c>
      <c r="I26" s="570">
        <f>I24-'Balance Sheet'!J8</f>
        <v>0</v>
      </c>
      <c r="J26" s="570">
        <f>J24-'Balance Sheet'!K8</f>
        <v>0</v>
      </c>
      <c r="K26" s="570">
        <f>K24-'Balance Sheet'!L8</f>
        <v>0</v>
      </c>
      <c r="L26" s="570">
        <f>L24-'Balance Sheet'!M8</f>
        <v>0</v>
      </c>
      <c r="M26" s="570">
        <f>M24-'Balance Sheet'!N8</f>
        <v>0</v>
      </c>
      <c r="O26" s="241"/>
    </row>
    <row r="27" spans="2:15">
      <c r="E27" s="396"/>
      <c r="F27" s="396"/>
      <c r="G27" s="396"/>
      <c r="H27" s="396"/>
      <c r="I27" s="396"/>
      <c r="J27" s="396"/>
      <c r="K27" s="396"/>
      <c r="L27" s="396"/>
      <c r="M27" s="396"/>
      <c r="O27" s="241"/>
    </row>
    <row r="28" spans="2:15">
      <c r="E28" s="396"/>
      <c r="F28" s="396"/>
      <c r="G28" s="396"/>
      <c r="H28" s="396"/>
      <c r="I28" s="396"/>
      <c r="J28" s="396"/>
      <c r="K28" s="396"/>
      <c r="L28" s="396"/>
      <c r="M28" s="396"/>
      <c r="O28" s="241"/>
    </row>
    <row r="29" spans="2:15">
      <c r="E29" s="562"/>
      <c r="O29" s="241"/>
    </row>
    <row r="30" spans="2:15">
      <c r="E30" s="562"/>
      <c r="O30" s="241"/>
    </row>
    <row r="31" spans="2:15">
      <c r="E31" s="562"/>
      <c r="O31" s="241"/>
    </row>
    <row r="32" spans="2:15" ht="15.75" thickBot="1">
      <c r="C32" s="548" t="s">
        <v>692</v>
      </c>
      <c r="D32" s="549"/>
      <c r="E32" s="549"/>
      <c r="F32" s="549"/>
      <c r="G32" s="549"/>
      <c r="H32" s="549"/>
      <c r="I32" s="549"/>
      <c r="J32" s="549"/>
      <c r="K32" s="549"/>
      <c r="L32" s="549"/>
      <c r="M32" s="549"/>
      <c r="O32" s="241"/>
    </row>
    <row r="33" spans="1:15">
      <c r="D33" s="550" t="s">
        <v>684</v>
      </c>
      <c r="E33" s="551">
        <f t="shared" ref="E33:M33" si="10">-E19</f>
        <v>-500</v>
      </c>
      <c r="F33" s="551">
        <f t="shared" si="10"/>
        <v>-44.716768453499981</v>
      </c>
      <c r="G33" s="551">
        <f t="shared" si="10"/>
        <v>-47.009936066499904</v>
      </c>
      <c r="H33" s="551">
        <f t="shared" si="10"/>
        <v>-22.931676130000142</v>
      </c>
      <c r="I33" s="551">
        <f t="shared" si="10"/>
        <v>-11.25</v>
      </c>
      <c r="J33" s="551">
        <f t="shared" si="10"/>
        <v>-13.75</v>
      </c>
      <c r="K33" s="551">
        <f t="shared" si="10"/>
        <v>0</v>
      </c>
      <c r="L33" s="551">
        <f t="shared" si="10"/>
        <v>0</v>
      </c>
      <c r="M33" s="551">
        <f t="shared" si="10"/>
        <v>0</v>
      </c>
      <c r="O33" s="241"/>
    </row>
    <row r="34" spans="1:15">
      <c r="D34" s="518" t="s">
        <v>685</v>
      </c>
      <c r="E34" s="552">
        <f t="shared" ref="E34:M34" si="11">E13</f>
        <v>-114.00600985228722</v>
      </c>
      <c r="F34" s="552">
        <f t="shared" si="11"/>
        <v>-99.448689154771074</v>
      </c>
      <c r="G34" s="552">
        <f t="shared" si="11"/>
        <v>-79.109290287824692</v>
      </c>
      <c r="H34" s="552">
        <f t="shared" si="11"/>
        <v>-8.9460457152646171</v>
      </c>
      <c r="I34" s="552">
        <f t="shared" si="11"/>
        <v>93.805113616620304</v>
      </c>
      <c r="J34" s="552">
        <f t="shared" si="11"/>
        <v>114.75024357321519</v>
      </c>
      <c r="K34" s="552">
        <f t="shared" si="11"/>
        <v>136.25762319161643</v>
      </c>
      <c r="L34" s="552">
        <f t="shared" si="11"/>
        <v>151.80720050667389</v>
      </c>
      <c r="M34" s="552">
        <f t="shared" si="11"/>
        <v>154.54975249256219</v>
      </c>
      <c r="O34" s="241"/>
    </row>
    <row r="35" spans="1:15">
      <c r="D35" s="518" t="s">
        <v>686</v>
      </c>
      <c r="E35" s="552">
        <f>-('CAPEX &amp; Financing'!G158 + 'CAPEX &amp; Financing'!G176)</f>
        <v>-36.171307350667121</v>
      </c>
      <c r="F35" s="552">
        <f>-('CAPEX &amp; Financing'!H158 + 'CAPEX &amp; Financing'!H176)</f>
        <v>-30.309282158614572</v>
      </c>
      <c r="G35" s="552">
        <f>-('CAPEX &amp; Financing'!I158 + 'CAPEX &amp; Financing'!I176)</f>
        <v>-30.847256966562025</v>
      </c>
      <c r="H35" s="552">
        <f>-('CAPEX &amp; Financing'!J158 + 'CAPEX &amp; Financing'!J176)</f>
        <v>-44.868186268111486</v>
      </c>
      <c r="I35" s="552">
        <f>-('CAPEX &amp; Financing'!K158 + 'CAPEX &amp; Financing'!K176)</f>
        <v>-27.372828533339273</v>
      </c>
      <c r="J35" s="552">
        <f>-('CAPEX &amp; Financing'!L158 + 'CAPEX &amp; Financing'!L176)</f>
        <v>-19.596878917444364</v>
      </c>
      <c r="K35" s="552">
        <f>-('CAPEX &amp; Financing'!M158 + 'CAPEX &amp; Financing'!M176)</f>
        <v>-16.958904109496913</v>
      </c>
      <c r="L35" s="552">
        <f>-('CAPEX &amp; Financing'!N158 + 'CAPEX &amp; Financing'!N176)</f>
        <v>-14.320929301549459</v>
      </c>
      <c r="M35" s="552">
        <f>-('CAPEX &amp; Financing'!O158 + 'CAPEX &amp; Financing'!O176)</f>
        <v>-11.682954493602004</v>
      </c>
      <c r="O35" s="241"/>
    </row>
    <row r="36" spans="1:15" ht="15.75" thickBot="1">
      <c r="C36" s="553" t="s">
        <v>684</v>
      </c>
      <c r="D36" s="553"/>
      <c r="E36" s="554">
        <f>SUM(E33:E35)</f>
        <v>-650.17731720295433</v>
      </c>
      <c r="F36" s="554">
        <f t="shared" ref="F36:M36" si="12">SUM(F33:F35)</f>
        <v>-174.47473976688562</v>
      </c>
      <c r="G36" s="554">
        <f t="shared" si="12"/>
        <v>-156.96648332088662</v>
      </c>
      <c r="H36" s="554">
        <f t="shared" si="12"/>
        <v>-76.745908113376245</v>
      </c>
      <c r="I36" s="554">
        <f t="shared" si="12"/>
        <v>55.18228508328103</v>
      </c>
      <c r="J36" s="554">
        <f t="shared" si="12"/>
        <v>81.403364655770815</v>
      </c>
      <c r="K36" s="554">
        <f t="shared" si="12"/>
        <v>119.29871908211952</v>
      </c>
      <c r="L36" s="554">
        <f t="shared" si="12"/>
        <v>137.48627120512444</v>
      </c>
      <c r="M36" s="554">
        <f t="shared" si="12"/>
        <v>142.86679799896018</v>
      </c>
      <c r="N36" s="555">
        <f>M36 / (0.12 - 0.1)</f>
        <v>7143.3398999480123</v>
      </c>
      <c r="O36" s="241"/>
    </row>
    <row r="37" spans="1:15" ht="15.75" thickBot="1">
      <c r="C37" s="556" t="s">
        <v>683</v>
      </c>
      <c r="D37" s="557"/>
      <c r="E37" s="558">
        <f>IRR(E36:N36)</f>
        <v>0.2750023242111943</v>
      </c>
      <c r="O37" s="241"/>
    </row>
    <row r="38" spans="1:15">
      <c r="E38" s="541"/>
      <c r="O38" s="241"/>
    </row>
    <row r="39" spans="1:15">
      <c r="A39" s="241"/>
      <c r="B39" s="241"/>
      <c r="C39" s="241"/>
      <c r="D39" s="241"/>
      <c r="E39" s="241"/>
      <c r="F39" s="241"/>
      <c r="G39" s="241"/>
      <c r="H39" s="241"/>
      <c r="I39" s="241"/>
      <c r="J39" s="241"/>
      <c r="K39" s="241"/>
      <c r="L39" s="241"/>
      <c r="M39" s="241"/>
      <c r="N39" s="241"/>
      <c r="O39" s="241"/>
    </row>
  </sheetData>
  <conditionalFormatting sqref="E8:M24">
    <cfRule type="cellIs" dxfId="9" priority="1" operator="greaterThan">
      <formula>0</formula>
    </cfRule>
    <cfRule type="cellIs" dxfId="8" priority="2" operator="lessThan">
      <formula>0</formula>
    </cfRule>
  </conditionalFormatting>
  <pageMargins left="0.7" right="0.7" top="0.75" bottom="0.75" header="0.3" footer="0.3"/>
  <pageSetup scale="76"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9D3FA-0CAF-435A-BBD9-90526AAC8C34}">
  <sheetPr>
    <tabColor theme="7" tint="0.79998168889431442"/>
  </sheetPr>
  <dimension ref="B1:E11"/>
  <sheetViews>
    <sheetView workbookViewId="0"/>
  </sheetViews>
  <sheetFormatPr defaultRowHeight="15"/>
  <cols>
    <col min="2" max="2" width="24.109375" bestFit="1" customWidth="1"/>
    <col min="3" max="3" width="15.88671875" bestFit="1" customWidth="1"/>
    <col min="4" max="4" width="24.109375" bestFit="1" customWidth="1"/>
    <col min="5" max="5" width="15.88671875" bestFit="1" customWidth="1"/>
  </cols>
  <sheetData>
    <row r="1" spans="2:5" ht="15.75" thickBot="1"/>
    <row r="2" spans="2:5" ht="16.5" thickBot="1">
      <c r="B2" s="595" t="s">
        <v>696</v>
      </c>
      <c r="C2" s="596"/>
      <c r="D2" s="595" t="s">
        <v>697</v>
      </c>
      <c r="E2" s="596"/>
    </row>
    <row r="3" spans="2:5" ht="17.25" thickTop="1" thickBot="1">
      <c r="B3" s="573" t="s">
        <v>698</v>
      </c>
      <c r="C3" s="573" t="s">
        <v>699</v>
      </c>
      <c r="D3" s="573" t="s">
        <v>698</v>
      </c>
      <c r="E3" s="573" t="s">
        <v>699</v>
      </c>
    </row>
    <row r="4" spans="2:5" ht="15.75" thickBot="1">
      <c r="B4" s="574" t="s">
        <v>332</v>
      </c>
      <c r="C4" s="575">
        <v>1250</v>
      </c>
      <c r="D4" s="574" t="s">
        <v>700</v>
      </c>
      <c r="E4" s="576">
        <v>766</v>
      </c>
    </row>
    <row r="5" spans="2:5" ht="15.75" thickBot="1">
      <c r="B5" s="577" t="s">
        <v>701</v>
      </c>
      <c r="C5" s="578">
        <v>306</v>
      </c>
      <c r="D5" s="577" t="s">
        <v>702</v>
      </c>
      <c r="E5" s="576">
        <v>573</v>
      </c>
    </row>
    <row r="6" spans="2:5" ht="15.75" thickBot="1">
      <c r="B6" s="574" t="s">
        <v>391</v>
      </c>
      <c r="C6" s="576">
        <v>812</v>
      </c>
      <c r="D6" s="574" t="s">
        <v>707</v>
      </c>
      <c r="E6" s="576">
        <v>716</v>
      </c>
    </row>
    <row r="7" spans="2:5" ht="15.75" thickBot="1">
      <c r="B7" s="577" t="s">
        <v>703</v>
      </c>
      <c r="C7" s="578">
        <v>115</v>
      </c>
      <c r="D7" s="577" t="s">
        <v>704</v>
      </c>
      <c r="E7" s="576">
        <v>313</v>
      </c>
    </row>
    <row r="8" spans="2:5" ht="15.75" thickBot="1">
      <c r="B8" s="577"/>
      <c r="C8" s="578"/>
      <c r="D8" s="577" t="s">
        <v>705</v>
      </c>
      <c r="E8" s="576">
        <v>100</v>
      </c>
    </row>
    <row r="9" spans="2:5" ht="15.75" thickBot="1">
      <c r="B9" s="577"/>
      <c r="C9" s="578"/>
      <c r="D9" s="577" t="s">
        <v>706</v>
      </c>
      <c r="E9" s="576">
        <v>15</v>
      </c>
    </row>
    <row r="10" spans="2:5" ht="15.75" thickBot="1">
      <c r="B10" s="579" t="s">
        <v>76</v>
      </c>
      <c r="C10" s="580">
        <f>SUM(C4:C7)</f>
        <v>2483</v>
      </c>
      <c r="D10" s="579" t="s">
        <v>76</v>
      </c>
      <c r="E10" s="580">
        <f>SUM(E4:E9)</f>
        <v>2483</v>
      </c>
    </row>
    <row r="11" spans="2:5">
      <c r="E11" s="572"/>
    </row>
  </sheetData>
  <mergeCells count="2">
    <mergeCell ref="B2:C2"/>
    <mergeCell ref="D2:E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C612E-37D1-4003-88EC-49D1B3C28671}">
  <sheetPr>
    <tabColor rgb="FFFFFF00"/>
  </sheetPr>
  <dimension ref="A1"/>
  <sheetViews>
    <sheetView workbookViewId="0"/>
  </sheetViews>
  <sheetFormatPr defaultColWidth="9.44140625" defaultRowHeight="13.5"/>
  <cols>
    <col min="1" max="16384" width="9.44140625" style="8"/>
  </cols>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EF670-DD3B-4220-A26D-79308E2B795A}">
  <sheetPr>
    <tabColor theme="3" tint="-0.249977111117893"/>
  </sheetPr>
  <dimension ref="A1:DE79"/>
  <sheetViews>
    <sheetView topLeftCell="A2" workbookViewId="0">
      <selection activeCell="A9" sqref="A9"/>
    </sheetView>
  </sheetViews>
  <sheetFormatPr defaultColWidth="0" defaultRowHeight="13.5"/>
  <cols>
    <col min="1" max="1" width="1.5546875" style="8" customWidth="1"/>
    <col min="2" max="2" width="35.44140625" style="8" customWidth="1"/>
    <col min="3" max="3" width="1.88671875" style="8" customWidth="1"/>
    <col min="4" max="4" width="12.44140625" style="8" bestFit="1" customWidth="1"/>
    <col min="5" max="6" width="11.5546875" style="8" bestFit="1" customWidth="1"/>
    <col min="7" max="7" width="11.44140625" style="8" bestFit="1" customWidth="1"/>
    <col min="8" max="13" width="11.5546875" style="8" bestFit="1" customWidth="1"/>
    <col min="14" max="14" width="0.5546875" style="8" customWidth="1"/>
    <col min="15" max="15" width="12.44140625" style="8" bestFit="1" customWidth="1"/>
    <col min="16" max="17" width="11.5546875" style="8" bestFit="1" customWidth="1"/>
    <col min="18" max="18" width="11.44140625" style="8" bestFit="1" customWidth="1"/>
    <col min="19" max="24" width="11.5546875" style="8" bestFit="1" customWidth="1"/>
    <col min="25" max="25" width="0.5546875" style="8" customWidth="1"/>
    <col min="26" max="26" width="11" style="8" bestFit="1" customWidth="1"/>
    <col min="27" max="28" width="10.44140625" style="8" bestFit="1" customWidth="1"/>
    <col min="29" max="29" width="10" style="8" bestFit="1" customWidth="1"/>
    <col min="30" max="35" width="10.5546875" style="8" bestFit="1" customWidth="1"/>
    <col min="36" max="36" width="0.5546875" style="8" customWidth="1"/>
    <col min="37" max="37" width="11" style="8" bestFit="1" customWidth="1"/>
    <col min="38" max="39" width="10.44140625" style="8" bestFit="1" customWidth="1"/>
    <col min="40" max="40" width="10" style="8" bestFit="1" customWidth="1"/>
    <col min="41" max="46" width="10.5546875" style="8" bestFit="1" customWidth="1"/>
    <col min="47" max="47" width="0.5546875" style="8" customWidth="1"/>
    <col min="48" max="48" width="11" style="8" bestFit="1" customWidth="1"/>
    <col min="49" max="50" width="10.44140625" style="8" bestFit="1" customWidth="1"/>
    <col min="51" max="51" width="10" style="8" bestFit="1" customWidth="1"/>
    <col min="52" max="57" width="10.5546875" style="8" bestFit="1" customWidth="1"/>
    <col min="58" max="58" width="0.5546875" style="8" customWidth="1"/>
    <col min="59" max="59" width="11" style="8" bestFit="1" customWidth="1"/>
    <col min="60" max="61" width="10.44140625" style="8" bestFit="1" customWidth="1"/>
    <col min="62" max="62" width="10" style="8" bestFit="1" customWidth="1"/>
    <col min="63" max="68" width="10.5546875" style="8" bestFit="1" customWidth="1"/>
    <col min="69" max="69" width="0.5546875" style="8" customWidth="1"/>
    <col min="70" max="70" width="11" style="8" bestFit="1" customWidth="1"/>
    <col min="71" max="72" width="10.44140625" style="8" bestFit="1" customWidth="1"/>
    <col min="73" max="73" width="10" style="8" bestFit="1" customWidth="1"/>
    <col min="74" max="79" width="10.5546875" style="8" bestFit="1" customWidth="1"/>
    <col min="80" max="80" width="0.5546875" style="8" customWidth="1"/>
    <col min="81" max="81" width="11" style="8" bestFit="1" customWidth="1"/>
    <col min="82" max="83" width="10.44140625" style="8" bestFit="1" customWidth="1"/>
    <col min="84" max="84" width="10" style="8" bestFit="1" customWidth="1"/>
    <col min="85" max="90" width="10.5546875" style="8" bestFit="1" customWidth="1"/>
    <col min="91" max="91" width="0.5546875" style="8" customWidth="1"/>
    <col min="92" max="92" width="11" style="8" bestFit="1" customWidth="1"/>
    <col min="93" max="94" width="10.44140625" style="8" bestFit="1" customWidth="1"/>
    <col min="95" max="95" width="10" style="8" bestFit="1" customWidth="1"/>
    <col min="96" max="101" width="10.5546875" style="8" bestFit="1" customWidth="1"/>
    <col min="102" max="102" width="1.5546875" style="8" customWidth="1"/>
    <col min="103" max="109" width="0" style="8" hidden="1" customWidth="1"/>
    <col min="110" max="16384" width="8.5546875" style="8" hidden="1"/>
  </cols>
  <sheetData>
    <row r="1" spans="1:102" ht="70.5" customHeight="1">
      <c r="A1" s="452"/>
      <c r="B1" s="10" t="s">
        <v>104</v>
      </c>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row>
    <row r="3" spans="1:102">
      <c r="C3" s="446" t="s">
        <v>397</v>
      </c>
      <c r="D3" s="446"/>
      <c r="E3" s="447"/>
      <c r="F3" s="447"/>
      <c r="G3" s="447"/>
      <c r="H3" s="447"/>
      <c r="I3" s="447"/>
      <c r="J3" s="447"/>
      <c r="K3" s="447"/>
      <c r="L3" s="447"/>
      <c r="M3" s="447"/>
      <c r="O3" s="446" t="s">
        <v>396</v>
      </c>
      <c r="P3" s="446"/>
      <c r="Q3" s="447"/>
      <c r="R3" s="447"/>
      <c r="S3" s="447"/>
      <c r="T3" s="447"/>
      <c r="U3" s="447"/>
      <c r="V3" s="447"/>
      <c r="W3" s="447"/>
      <c r="X3" s="447"/>
      <c r="Z3" s="446" t="s">
        <v>67</v>
      </c>
      <c r="AA3" s="446"/>
      <c r="AB3" s="447"/>
      <c r="AC3" s="447"/>
      <c r="AD3" s="447"/>
      <c r="AE3" s="447"/>
      <c r="AF3" s="447"/>
      <c r="AG3" s="447"/>
      <c r="AH3" s="447"/>
      <c r="AI3" s="447"/>
      <c r="AK3" s="446" t="s">
        <v>68</v>
      </c>
      <c r="AL3" s="446"/>
      <c r="AM3" s="447"/>
      <c r="AN3" s="447"/>
      <c r="AO3" s="447"/>
      <c r="AP3" s="447"/>
      <c r="AQ3" s="447"/>
      <c r="AR3" s="447"/>
      <c r="AS3" s="447"/>
      <c r="AT3" s="447"/>
      <c r="AV3" s="446" t="s">
        <v>69</v>
      </c>
      <c r="AW3" s="446"/>
      <c r="AX3" s="447"/>
      <c r="AY3" s="447"/>
      <c r="AZ3" s="447"/>
      <c r="BA3" s="447"/>
      <c r="BB3" s="447"/>
      <c r="BC3" s="447"/>
      <c r="BD3" s="447"/>
      <c r="BE3" s="447"/>
      <c r="BG3" s="446" t="s">
        <v>557</v>
      </c>
      <c r="BH3" s="446"/>
      <c r="BI3" s="447"/>
      <c r="BJ3" s="447"/>
      <c r="BK3" s="447"/>
      <c r="BL3" s="447"/>
      <c r="BM3" s="447"/>
      <c r="BN3" s="447"/>
      <c r="BO3" s="447"/>
      <c r="BP3" s="447"/>
      <c r="BR3" s="446" t="s">
        <v>558</v>
      </c>
      <c r="BS3" s="446"/>
      <c r="BT3" s="447"/>
      <c r="BU3" s="447"/>
      <c r="BV3" s="447"/>
      <c r="BW3" s="447"/>
      <c r="BX3" s="447"/>
      <c r="BY3" s="447"/>
      <c r="BZ3" s="447"/>
      <c r="CA3" s="447"/>
      <c r="CC3" s="446" t="s">
        <v>105</v>
      </c>
      <c r="CD3" s="446"/>
      <c r="CE3" s="447"/>
      <c r="CF3" s="447"/>
      <c r="CG3" s="447"/>
      <c r="CH3" s="447"/>
      <c r="CI3" s="447"/>
      <c r="CJ3" s="447"/>
      <c r="CK3" s="447"/>
      <c r="CL3" s="447"/>
      <c r="CN3" s="446" t="s">
        <v>106</v>
      </c>
      <c r="CO3" s="446"/>
      <c r="CP3" s="447"/>
      <c r="CQ3" s="447"/>
      <c r="CR3" s="447"/>
      <c r="CS3" s="447"/>
      <c r="CT3" s="447"/>
      <c r="CU3" s="447"/>
      <c r="CV3" s="447"/>
      <c r="CW3" s="447"/>
    </row>
    <row r="4" spans="1:102" ht="3.75" customHeight="1"/>
    <row r="5" spans="1:102">
      <c r="B5" s="448" t="s">
        <v>64</v>
      </c>
      <c r="C5" s="449"/>
      <c r="D5" s="449">
        <v>2022</v>
      </c>
      <c r="E5" s="449">
        <f>D5+1</f>
        <v>2023</v>
      </c>
      <c r="F5" s="449">
        <f t="shared" ref="F5:M5" si="0">E5+1</f>
        <v>2024</v>
      </c>
      <c r="G5" s="449">
        <f t="shared" si="0"/>
        <v>2025</v>
      </c>
      <c r="H5" s="449">
        <f t="shared" si="0"/>
        <v>2026</v>
      </c>
      <c r="I5" s="449">
        <f t="shared" si="0"/>
        <v>2027</v>
      </c>
      <c r="J5" s="449">
        <f t="shared" si="0"/>
        <v>2028</v>
      </c>
      <c r="K5" s="449">
        <f t="shared" si="0"/>
        <v>2029</v>
      </c>
      <c r="L5" s="449">
        <f t="shared" si="0"/>
        <v>2030</v>
      </c>
      <c r="M5" s="449">
        <f t="shared" si="0"/>
        <v>2031</v>
      </c>
      <c r="O5" s="449">
        <v>2022</v>
      </c>
      <c r="P5" s="449">
        <f>O5+1</f>
        <v>2023</v>
      </c>
      <c r="Q5" s="449">
        <f t="shared" ref="Q5" si="1">P5+1</f>
        <v>2024</v>
      </c>
      <c r="R5" s="449">
        <f t="shared" ref="R5" si="2">Q5+1</f>
        <v>2025</v>
      </c>
      <c r="S5" s="449">
        <f t="shared" ref="S5" si="3">R5+1</f>
        <v>2026</v>
      </c>
      <c r="T5" s="449">
        <f t="shared" ref="T5" si="4">S5+1</f>
        <v>2027</v>
      </c>
      <c r="U5" s="449">
        <f t="shared" ref="U5" si="5">T5+1</f>
        <v>2028</v>
      </c>
      <c r="V5" s="449">
        <f t="shared" ref="V5" si="6">U5+1</f>
        <v>2029</v>
      </c>
      <c r="W5" s="449">
        <f t="shared" ref="W5:X5" si="7">V5+1</f>
        <v>2030</v>
      </c>
      <c r="X5" s="449">
        <f t="shared" si="7"/>
        <v>2031</v>
      </c>
      <c r="Z5" s="449">
        <v>2022</v>
      </c>
      <c r="AA5" s="449">
        <f>Z5+1</f>
        <v>2023</v>
      </c>
      <c r="AB5" s="449">
        <f t="shared" ref="AB5:AI5" si="8">AA5+1</f>
        <v>2024</v>
      </c>
      <c r="AC5" s="449">
        <f t="shared" si="8"/>
        <v>2025</v>
      </c>
      <c r="AD5" s="449">
        <f t="shared" si="8"/>
        <v>2026</v>
      </c>
      <c r="AE5" s="449">
        <f t="shared" si="8"/>
        <v>2027</v>
      </c>
      <c r="AF5" s="449">
        <f t="shared" si="8"/>
        <v>2028</v>
      </c>
      <c r="AG5" s="449">
        <f t="shared" si="8"/>
        <v>2029</v>
      </c>
      <c r="AH5" s="449">
        <f t="shared" si="8"/>
        <v>2030</v>
      </c>
      <c r="AI5" s="449">
        <f t="shared" si="8"/>
        <v>2031</v>
      </c>
      <c r="AK5" s="449">
        <v>2022</v>
      </c>
      <c r="AL5" s="449">
        <f>AK5+1</f>
        <v>2023</v>
      </c>
      <c r="AM5" s="449">
        <f t="shared" ref="AM5:AT5" si="9">AL5+1</f>
        <v>2024</v>
      </c>
      <c r="AN5" s="449">
        <f t="shared" si="9"/>
        <v>2025</v>
      </c>
      <c r="AO5" s="449">
        <f t="shared" si="9"/>
        <v>2026</v>
      </c>
      <c r="AP5" s="449">
        <f t="shared" si="9"/>
        <v>2027</v>
      </c>
      <c r="AQ5" s="449">
        <f t="shared" si="9"/>
        <v>2028</v>
      </c>
      <c r="AR5" s="449">
        <f t="shared" si="9"/>
        <v>2029</v>
      </c>
      <c r="AS5" s="449">
        <f t="shared" si="9"/>
        <v>2030</v>
      </c>
      <c r="AT5" s="449">
        <f t="shared" si="9"/>
        <v>2031</v>
      </c>
      <c r="AV5" s="449">
        <v>2022</v>
      </c>
      <c r="AW5" s="449">
        <f>AV5+1</f>
        <v>2023</v>
      </c>
      <c r="AX5" s="449">
        <f t="shared" ref="AX5:BE5" si="10">AW5+1</f>
        <v>2024</v>
      </c>
      <c r="AY5" s="449">
        <f t="shared" si="10"/>
        <v>2025</v>
      </c>
      <c r="AZ5" s="449">
        <f t="shared" si="10"/>
        <v>2026</v>
      </c>
      <c r="BA5" s="449">
        <f t="shared" si="10"/>
        <v>2027</v>
      </c>
      <c r="BB5" s="449">
        <f t="shared" si="10"/>
        <v>2028</v>
      </c>
      <c r="BC5" s="449">
        <f t="shared" si="10"/>
        <v>2029</v>
      </c>
      <c r="BD5" s="449">
        <f t="shared" si="10"/>
        <v>2030</v>
      </c>
      <c r="BE5" s="449">
        <f t="shared" si="10"/>
        <v>2031</v>
      </c>
      <c r="BG5" s="449">
        <v>2022</v>
      </c>
      <c r="BH5" s="449">
        <f>BG5+1</f>
        <v>2023</v>
      </c>
      <c r="BI5" s="449">
        <f t="shared" ref="BI5:BP5" si="11">BH5+1</f>
        <v>2024</v>
      </c>
      <c r="BJ5" s="449">
        <f t="shared" si="11"/>
        <v>2025</v>
      </c>
      <c r="BK5" s="449">
        <f t="shared" si="11"/>
        <v>2026</v>
      </c>
      <c r="BL5" s="449">
        <f t="shared" si="11"/>
        <v>2027</v>
      </c>
      <c r="BM5" s="449">
        <f t="shared" si="11"/>
        <v>2028</v>
      </c>
      <c r="BN5" s="449">
        <f t="shared" si="11"/>
        <v>2029</v>
      </c>
      <c r="BO5" s="449">
        <f t="shared" si="11"/>
        <v>2030</v>
      </c>
      <c r="BP5" s="449">
        <f t="shared" si="11"/>
        <v>2031</v>
      </c>
      <c r="BR5" s="449">
        <v>2022</v>
      </c>
      <c r="BS5" s="449">
        <f>BR5+1</f>
        <v>2023</v>
      </c>
      <c r="BT5" s="449">
        <f t="shared" ref="BT5" si="12">BS5+1</f>
        <v>2024</v>
      </c>
      <c r="BU5" s="449">
        <f t="shared" ref="BU5" si="13">BT5+1</f>
        <v>2025</v>
      </c>
      <c r="BV5" s="449">
        <f t="shared" ref="BV5" si="14">BU5+1</f>
        <v>2026</v>
      </c>
      <c r="BW5" s="449">
        <f t="shared" ref="BW5" si="15">BV5+1</f>
        <v>2027</v>
      </c>
      <c r="BX5" s="449">
        <f t="shared" ref="BX5" si="16">BW5+1</f>
        <v>2028</v>
      </c>
      <c r="BY5" s="449">
        <f t="shared" ref="BY5" si="17">BX5+1</f>
        <v>2029</v>
      </c>
      <c r="BZ5" s="449">
        <f t="shared" ref="BZ5" si="18">BY5+1</f>
        <v>2030</v>
      </c>
      <c r="CA5" s="449">
        <f t="shared" ref="CA5" si="19">BZ5+1</f>
        <v>2031</v>
      </c>
      <c r="CC5" s="449">
        <v>2022</v>
      </c>
      <c r="CD5" s="449">
        <f>CC5+1</f>
        <v>2023</v>
      </c>
      <c r="CE5" s="449">
        <f t="shared" ref="CE5:CL5" si="20">CD5+1</f>
        <v>2024</v>
      </c>
      <c r="CF5" s="449">
        <f t="shared" si="20"/>
        <v>2025</v>
      </c>
      <c r="CG5" s="449">
        <f t="shared" si="20"/>
        <v>2026</v>
      </c>
      <c r="CH5" s="449">
        <f t="shared" si="20"/>
        <v>2027</v>
      </c>
      <c r="CI5" s="449">
        <f t="shared" si="20"/>
        <v>2028</v>
      </c>
      <c r="CJ5" s="449">
        <f t="shared" si="20"/>
        <v>2029</v>
      </c>
      <c r="CK5" s="449">
        <f t="shared" si="20"/>
        <v>2030</v>
      </c>
      <c r="CL5" s="449">
        <f t="shared" si="20"/>
        <v>2031</v>
      </c>
      <c r="CN5" s="449">
        <v>2022</v>
      </c>
      <c r="CO5" s="449">
        <f>CN5+1</f>
        <v>2023</v>
      </c>
      <c r="CP5" s="449">
        <f t="shared" ref="CP5:CW5" si="21">CO5+1</f>
        <v>2024</v>
      </c>
      <c r="CQ5" s="449">
        <f t="shared" si="21"/>
        <v>2025</v>
      </c>
      <c r="CR5" s="449">
        <f t="shared" si="21"/>
        <v>2026</v>
      </c>
      <c r="CS5" s="449">
        <f t="shared" si="21"/>
        <v>2027</v>
      </c>
      <c r="CT5" s="449">
        <f t="shared" si="21"/>
        <v>2028</v>
      </c>
      <c r="CU5" s="449">
        <f t="shared" si="21"/>
        <v>2029</v>
      </c>
      <c r="CV5" s="449">
        <f t="shared" si="21"/>
        <v>2030</v>
      </c>
      <c r="CW5" s="449">
        <f t="shared" si="21"/>
        <v>2031</v>
      </c>
    </row>
    <row r="6" spans="1:102" ht="3.75" customHeight="1">
      <c r="B6" s="100"/>
    </row>
    <row r="7" spans="1:102">
      <c r="B7" s="28" t="s">
        <v>108</v>
      </c>
      <c r="C7" s="131"/>
      <c r="D7" s="131"/>
      <c r="E7" s="131"/>
      <c r="F7" s="131"/>
      <c r="G7" s="131"/>
      <c r="H7" s="131"/>
      <c r="I7" s="131"/>
      <c r="J7" s="131"/>
      <c r="K7" s="131"/>
      <c r="L7" s="131"/>
      <c r="M7" s="131"/>
      <c r="O7" s="131"/>
      <c r="P7" s="131"/>
      <c r="Q7" s="131"/>
      <c r="R7" s="131"/>
      <c r="S7" s="131"/>
      <c r="T7" s="131"/>
      <c r="U7" s="131"/>
      <c r="V7" s="131"/>
      <c r="W7" s="131"/>
      <c r="X7" s="131"/>
      <c r="Z7" s="131"/>
      <c r="AA7" s="131"/>
      <c r="AB7" s="131"/>
      <c r="AC7" s="131"/>
      <c r="AD7" s="131"/>
      <c r="AE7" s="131"/>
      <c r="AF7" s="131"/>
      <c r="AG7" s="131"/>
      <c r="AH7" s="131"/>
      <c r="AI7" s="131"/>
      <c r="AK7" s="131"/>
      <c r="AL7" s="131"/>
      <c r="AM7" s="131"/>
      <c r="AN7" s="131"/>
      <c r="AO7" s="131"/>
      <c r="AP7" s="131"/>
      <c r="AQ7" s="131"/>
      <c r="AR7" s="131"/>
      <c r="AS7" s="131"/>
      <c r="AT7" s="131"/>
      <c r="AV7" s="131"/>
      <c r="AW7" s="131"/>
      <c r="AX7" s="131"/>
      <c r="AY7" s="131"/>
      <c r="AZ7" s="131"/>
      <c r="BA7" s="131"/>
      <c r="BB7" s="131"/>
      <c r="BC7" s="131"/>
      <c r="BD7" s="131"/>
      <c r="BE7" s="131"/>
      <c r="BG7" s="131"/>
      <c r="BH7" s="131"/>
      <c r="BI7" s="131"/>
      <c r="BJ7" s="131"/>
      <c r="BK7" s="131"/>
      <c r="BL7" s="131"/>
      <c r="BM7" s="131"/>
      <c r="BN7" s="131"/>
      <c r="BO7" s="131"/>
      <c r="BP7" s="131"/>
      <c r="BR7" s="131"/>
      <c r="BS7" s="131"/>
      <c r="BT7" s="131"/>
      <c r="BU7" s="131"/>
      <c r="BV7" s="131"/>
      <c r="BW7" s="131"/>
      <c r="BX7" s="131"/>
      <c r="BY7" s="131"/>
      <c r="BZ7" s="131"/>
      <c r="CA7" s="131"/>
      <c r="CC7" s="131"/>
      <c r="CD7" s="131"/>
      <c r="CE7" s="131"/>
      <c r="CF7" s="131"/>
      <c r="CG7" s="131"/>
      <c r="CH7" s="131"/>
      <c r="CI7" s="131"/>
      <c r="CJ7" s="131"/>
      <c r="CK7" s="131"/>
      <c r="CL7" s="131"/>
      <c r="CN7" s="131"/>
      <c r="CO7" s="131"/>
      <c r="CP7" s="131"/>
      <c r="CQ7" s="131"/>
      <c r="CR7" s="131"/>
      <c r="CS7" s="131"/>
      <c r="CT7" s="131"/>
      <c r="CU7" s="131"/>
      <c r="CV7" s="131"/>
      <c r="CW7" s="131"/>
    </row>
    <row r="8" spans="1:102" ht="3.75" customHeight="1">
      <c r="B8" s="103"/>
      <c r="C8" s="14"/>
      <c r="D8" s="14"/>
      <c r="E8" s="14"/>
      <c r="F8" s="14"/>
      <c r="G8" s="14"/>
      <c r="H8" s="14"/>
      <c r="I8" s="14"/>
      <c r="J8" s="14"/>
      <c r="K8" s="14"/>
      <c r="L8" s="14"/>
      <c r="M8" s="14"/>
      <c r="O8" s="14"/>
      <c r="P8" s="14"/>
      <c r="Q8" s="14"/>
      <c r="R8" s="14"/>
      <c r="S8" s="14"/>
      <c r="T8" s="14"/>
      <c r="U8" s="14"/>
      <c r="V8" s="14"/>
      <c r="W8" s="14"/>
      <c r="X8" s="14"/>
      <c r="Z8" s="14"/>
      <c r="AA8" s="14"/>
      <c r="AB8" s="14"/>
      <c r="AC8" s="14"/>
      <c r="AD8" s="14"/>
      <c r="AE8" s="14"/>
      <c r="AF8" s="14"/>
      <c r="AG8" s="14"/>
      <c r="AH8" s="14"/>
      <c r="AI8" s="14"/>
      <c r="AK8" s="14"/>
      <c r="AL8" s="14"/>
      <c r="AM8" s="14"/>
      <c r="AN8" s="14"/>
      <c r="AO8" s="14"/>
      <c r="AP8" s="14"/>
      <c r="AQ8" s="14"/>
      <c r="AR8" s="14"/>
      <c r="AS8" s="14"/>
      <c r="AT8" s="14"/>
      <c r="AV8" s="14"/>
      <c r="AW8" s="14"/>
      <c r="AX8" s="14"/>
      <c r="AY8" s="14"/>
      <c r="AZ8" s="14"/>
      <c r="BA8" s="14"/>
      <c r="BB8" s="14"/>
      <c r="BC8" s="14"/>
      <c r="BD8" s="14"/>
      <c r="BE8" s="14"/>
      <c r="BG8" s="14"/>
      <c r="BH8" s="14"/>
      <c r="BI8" s="14"/>
      <c r="BJ8" s="14"/>
      <c r="BK8" s="14"/>
      <c r="BL8" s="14"/>
      <c r="BM8" s="14"/>
      <c r="BN8" s="14"/>
      <c r="BO8" s="14"/>
      <c r="BP8" s="14"/>
      <c r="BR8" s="14"/>
      <c r="BS8" s="14"/>
      <c r="BT8" s="14"/>
      <c r="BU8" s="14"/>
      <c r="BV8" s="14"/>
      <c r="BW8" s="14"/>
      <c r="BX8" s="14"/>
      <c r="BY8" s="14"/>
      <c r="BZ8" s="14"/>
      <c r="CA8" s="14"/>
      <c r="CC8" s="14"/>
      <c r="CD8" s="14"/>
      <c r="CE8" s="14"/>
      <c r="CF8" s="14"/>
      <c r="CG8" s="14"/>
      <c r="CH8" s="14"/>
      <c r="CI8" s="14"/>
      <c r="CJ8" s="14"/>
      <c r="CK8" s="14"/>
      <c r="CL8" s="14"/>
      <c r="CN8" s="14"/>
      <c r="CO8" s="14"/>
      <c r="CP8" s="14"/>
      <c r="CQ8" s="14"/>
      <c r="CR8" s="14"/>
      <c r="CS8" s="14"/>
      <c r="CT8" s="14"/>
      <c r="CU8" s="14"/>
      <c r="CV8" s="14"/>
      <c r="CW8" s="14"/>
    </row>
    <row r="9" spans="1:102" s="100" customFormat="1">
      <c r="B9" s="104" t="s">
        <v>109</v>
      </c>
      <c r="C9" s="105"/>
      <c r="D9" s="105"/>
      <c r="E9" s="105">
        <f>_xlfn.XLOOKUP(E$5, 'Project Pele ROI'!$F$29:$AL$29, 'Project Pele ROI'!$F$48:$AL$48, 0)</f>
        <v>0</v>
      </c>
      <c r="F9" s="105">
        <f>_xlfn.XLOOKUP(F$5, 'Project Pele ROI'!$F$29:$AL$29, 'Project Pele ROI'!$F$48:$AL$48, 0)</f>
        <v>0</v>
      </c>
      <c r="G9" s="105">
        <f>_xlfn.XLOOKUP(G$5, 'Project Pele ROI'!$F$29:$AL$29, 'Project Pele ROI'!$F$48:$AL$48, 0)</f>
        <v>629.8214999999999</v>
      </c>
      <c r="H9" s="105">
        <f>_xlfn.XLOOKUP(H$5, 'Project Pele ROI'!$F$29:$AL$29, 'Project Pele ROI'!$F$48:$AL$48, 0)</f>
        <v>1799.4899999999998</v>
      </c>
      <c r="I9" s="105">
        <f>_xlfn.XLOOKUP(I$5, 'Project Pele ROI'!$F$29:$AL$29, 'Project Pele ROI'!$F$48:$AL$48, 0)</f>
        <v>2549.4899999999998</v>
      </c>
      <c r="J9" s="105">
        <f>_xlfn.XLOOKUP(J$5, 'Project Pele ROI'!$F$29:$AL$29, 'Project Pele ROI'!$F$48:$AL$48, 0)</f>
        <v>3049.49</v>
      </c>
      <c r="K9" s="105">
        <f>_xlfn.XLOOKUP(K$5, 'Project Pele ROI'!$F$29:$AL$29, 'Project Pele ROI'!$F$48:$AL$48, 0)</f>
        <v>3049.49</v>
      </c>
      <c r="L9" s="105">
        <f>_xlfn.XLOOKUP(L$5, 'Project Pele ROI'!$F$29:$AL$29, 'Project Pele ROI'!$F$48:$AL$48, 0)</f>
        <v>3049.49</v>
      </c>
      <c r="M9" s="105">
        <f>_xlfn.XLOOKUP(M$5, 'Project Pele ROI'!$F$29:$AL$29, 'Project Pele ROI'!$F$48:$AL$48, 0)</f>
        <v>3049.49</v>
      </c>
      <c r="O9" s="105">
        <f>_xlfn.XLOOKUP(O$5, 'Project Pele ROI'!$F$29:$AL$29, 'Project Pele ROI'!$F$49:$AL$49, 0)</f>
        <v>0</v>
      </c>
      <c r="P9" s="105">
        <f>_xlfn.XLOOKUP(P$5, 'Project Pele ROI'!$F$29:$AL$29, 'Project Pele ROI'!$F$49:$AL$49, 0)</f>
        <v>0</v>
      </c>
      <c r="Q9" s="105">
        <f>_xlfn.XLOOKUP(Q$5, 'Project Pele ROI'!$F$29:$AL$29, 'Project Pele ROI'!$F$49:$AL$49, 0)</f>
        <v>0</v>
      </c>
      <c r="R9" s="105">
        <f>_xlfn.XLOOKUP(R$5, 'Project Pele ROI'!$F$29:$AL$29, 'Project Pele ROI'!$F$49:$AL$49, 0)</f>
        <v>1889.4644999999996</v>
      </c>
      <c r="S9" s="105">
        <f>_xlfn.XLOOKUP(S$5, 'Project Pele ROI'!$F$29:$AL$29, 'Project Pele ROI'!$F$49:$AL$49, 0)</f>
        <v>5398.4699999999993</v>
      </c>
      <c r="T9" s="105">
        <f>_xlfn.XLOOKUP(T$5, 'Project Pele ROI'!$F$29:$AL$29, 'Project Pele ROI'!$F$49:$AL$49, 0)</f>
        <v>7648.4699999999993</v>
      </c>
      <c r="U9" s="105">
        <f>_xlfn.XLOOKUP(U$5, 'Project Pele ROI'!$F$29:$AL$29, 'Project Pele ROI'!$F$49:$AL$49, 0)</f>
        <v>9148.4699999999993</v>
      </c>
      <c r="V9" s="105">
        <f>_xlfn.XLOOKUP(V$5, 'Project Pele ROI'!$F$29:$AL$29, 'Project Pele ROI'!$F$49:$AL$49, 0)</f>
        <v>9148.4699999999993</v>
      </c>
      <c r="W9" s="105">
        <f>_xlfn.XLOOKUP(W$5, 'Project Pele ROI'!$F$29:$AL$29, 'Project Pele ROI'!$F$49:$AL$49, 0)</f>
        <v>9148.4699999999993</v>
      </c>
      <c r="X9" s="105">
        <f>_xlfn.XLOOKUP(X$5, 'Project Pele ROI'!$F$29:$AL$29, 'Project Pele ROI'!$F$49:$AL$49, 0)</f>
        <v>9148.4699999999993</v>
      </c>
      <c r="Z9" s="105">
        <f>_xlfn.XLOOKUP(Z$5, 'Project Pele ROI'!$F$29:$AL$29, 'Project Pele ROI'!$F$50:$AL$50, 0)</f>
        <v>0</v>
      </c>
      <c r="AA9" s="105">
        <f>_xlfn.XLOOKUP(AA$5, 'Project Pele ROI'!$F$29:$AL$29, 'Project Pele ROI'!$F$50:$AL$50, 0)</f>
        <v>0</v>
      </c>
      <c r="AB9" s="105">
        <f>_xlfn.XLOOKUP(AB$5, 'Project Pele ROI'!$F$29:$AL$29, 'Project Pele ROI'!$F$50:$AL$50, 0)</f>
        <v>0</v>
      </c>
      <c r="AC9" s="105">
        <f>_xlfn.XLOOKUP(AC$5, 'Project Pele ROI'!$F$29:$AL$29, 'Project Pele ROI'!$F$50:$AL$50, 0)</f>
        <v>4282.7861999999996</v>
      </c>
      <c r="AD9" s="105">
        <f>_xlfn.XLOOKUP(AD$5, 'Project Pele ROI'!$F$29:$AL$29, 'Project Pele ROI'!$F$50:$AL$50, 0)</f>
        <v>12236.531999999997</v>
      </c>
      <c r="AE9" s="105">
        <f>_xlfn.XLOOKUP(AE$5, 'Project Pele ROI'!$F$29:$AL$29, 'Project Pele ROI'!$F$50:$AL$50, 0)</f>
        <v>17336.531999999999</v>
      </c>
      <c r="AF9" s="105">
        <f>_xlfn.XLOOKUP(AF$5, 'Project Pele ROI'!$F$29:$AL$29, 'Project Pele ROI'!$F$50:$AL$50, 0)</f>
        <v>20736.531999999999</v>
      </c>
      <c r="AG9" s="105">
        <f>_xlfn.XLOOKUP(AG$5, 'Project Pele ROI'!$F$29:$AL$29, 'Project Pele ROI'!$F$50:$AL$50, 0)</f>
        <v>20736.531999999999</v>
      </c>
      <c r="AH9" s="105">
        <f>_xlfn.XLOOKUP(AH$5, 'Project Pele ROI'!$F$29:$AL$29, 'Project Pele ROI'!$F$50:$AL$50, 0)</f>
        <v>20736.531999999999</v>
      </c>
      <c r="AI9" s="105">
        <f>_xlfn.XLOOKUP(AI$5, 'Project Pele ROI'!$F$29:$AL$29, 'Project Pele ROI'!$F$50:$AL$50, 0)</f>
        <v>20736.531999999999</v>
      </c>
      <c r="AK9" s="105">
        <f>_xlfn.XLOOKUP(AK$5, 'Project Pele ROI'!$F$29:$AL$29, 'Project Pele ROI'!$F$51:$AL$51,0)</f>
        <v>0</v>
      </c>
      <c r="AL9" s="105">
        <f>_xlfn.XLOOKUP(AL$5, 'Project Pele ROI'!$F$29:$AL$29, 'Project Pele ROI'!$F$51:$AL$51,0)</f>
        <v>0</v>
      </c>
      <c r="AM9" s="105">
        <f>_xlfn.XLOOKUP(AM$5, 'Project Pele ROI'!$F$29:$AL$29, 'Project Pele ROI'!$F$51:$AL$51,0)</f>
        <v>0</v>
      </c>
      <c r="AN9" s="105">
        <f>_xlfn.XLOOKUP(AN$5, 'Project Pele ROI'!$F$29:$AL$29, 'Project Pele ROI'!$F$51:$AL$51,0)</f>
        <v>0</v>
      </c>
      <c r="AO9" s="105">
        <f>_xlfn.XLOOKUP(AO$5, 'Project Pele ROI'!$F$29:$AL$29, 'Project Pele ROI'!$F$51:$AL$51,0)</f>
        <v>0</v>
      </c>
      <c r="AP9" s="105">
        <f>_xlfn.XLOOKUP(AP$5, 'Project Pele ROI'!$F$29:$AL$29, 'Project Pele ROI'!$F$51:$AL$51,0)</f>
        <v>10</v>
      </c>
      <c r="AQ9" s="105">
        <f>_xlfn.XLOOKUP(AQ$5, 'Project Pele ROI'!$F$29:$AL$29, 'Project Pele ROI'!$F$51:$AL$51,0)</f>
        <v>15</v>
      </c>
      <c r="AR9" s="105">
        <f>_xlfn.XLOOKUP(AR$5, 'Project Pele ROI'!$F$29:$AL$29, 'Project Pele ROI'!$F$51:$AL$51,0)</f>
        <v>22.5</v>
      </c>
      <c r="AS9" s="105">
        <f>_xlfn.XLOOKUP(AS$5, 'Project Pele ROI'!$F$29:$AL$29, 'Project Pele ROI'!$F$51:$AL$51,0)</f>
        <v>33.75</v>
      </c>
      <c r="AT9" s="105">
        <f>_xlfn.XLOOKUP(AT$5, 'Project Pele ROI'!$F$29:$AL$29, 'Project Pele ROI'!$F$51:$AL$51,0)</f>
        <v>33.75</v>
      </c>
      <c r="AV9" s="105">
        <f>_xlfn.XLOOKUP(AV$5, 'Project Pele ROI'!$F$29:$AL$29, 'Project Pele ROI'!$F$52:$AL$52, 0)</f>
        <v>0</v>
      </c>
      <c r="AW9" s="105">
        <f>_xlfn.XLOOKUP(AW$5, 'Project Pele ROI'!$F$29:$AL$29, 'Project Pele ROI'!$F$52:$AL$52, 0)</f>
        <v>0</v>
      </c>
      <c r="AX9" s="105">
        <f>_xlfn.XLOOKUP(AX$5, 'Project Pele ROI'!$F$29:$AL$29, 'Project Pele ROI'!$F$52:$AL$52, 0)</f>
        <v>0</v>
      </c>
      <c r="AY9" s="105">
        <f>_xlfn.XLOOKUP(AY$5, 'Project Pele ROI'!$F$29:$AL$29, 'Project Pele ROI'!$F$52:$AL$52, 0)</f>
        <v>0</v>
      </c>
      <c r="AZ9" s="105">
        <f>_xlfn.XLOOKUP(AZ$5, 'Project Pele ROI'!$F$29:$AL$29, 'Project Pele ROI'!$F$52:$AL$52, 0)</f>
        <v>0</v>
      </c>
      <c r="BA9" s="105">
        <f>_xlfn.XLOOKUP(BA$5, 'Project Pele ROI'!$F$29:$AL$29, 'Project Pele ROI'!$F$52:$AL$52, 0)</f>
        <v>400</v>
      </c>
      <c r="BB9" s="105">
        <f>_xlfn.XLOOKUP(BB$5, 'Project Pele ROI'!$F$29:$AL$29, 'Project Pele ROI'!$F$52:$AL$52, 0)</f>
        <v>750</v>
      </c>
      <c r="BC9" s="105">
        <f>_xlfn.XLOOKUP(BC$5, 'Project Pele ROI'!$F$29:$AL$29, 'Project Pele ROI'!$F$52:$AL$52, 0)</f>
        <v>1000</v>
      </c>
      <c r="BD9" s="105">
        <f>_xlfn.XLOOKUP(BD$5, 'Project Pele ROI'!$F$29:$AL$29, 'Project Pele ROI'!$F$52:$AL$52, 0)</f>
        <v>1050</v>
      </c>
      <c r="BE9" s="105">
        <f>_xlfn.XLOOKUP(BE$5, 'Project Pele ROI'!$F$29:$AL$29, 'Project Pele ROI'!$F$52:$AL$52, 0)</f>
        <v>1102.5</v>
      </c>
      <c r="BG9" s="105"/>
      <c r="BH9" s="105"/>
      <c r="BI9" s="105"/>
      <c r="BJ9" s="105"/>
      <c r="BK9" s="105"/>
      <c r="BL9" s="105"/>
      <c r="BM9" s="105"/>
      <c r="BN9" s="105"/>
      <c r="BO9" s="105"/>
      <c r="BP9" s="105"/>
      <c r="BR9" s="105"/>
      <c r="BS9" s="105"/>
      <c r="BT9" s="105"/>
      <c r="BU9" s="105"/>
      <c r="BV9" s="105"/>
      <c r="BW9" s="105"/>
      <c r="BX9" s="105"/>
      <c r="BY9" s="105"/>
      <c r="BZ9" s="105"/>
      <c r="CA9" s="105"/>
      <c r="CC9" s="105"/>
      <c r="CD9" s="105"/>
      <c r="CE9" s="105"/>
      <c r="CF9" s="105"/>
      <c r="CG9" s="105"/>
      <c r="CH9" s="105"/>
      <c r="CI9" s="105"/>
      <c r="CJ9" s="105"/>
      <c r="CK9" s="105"/>
      <c r="CL9" s="105"/>
      <c r="CN9" s="105"/>
      <c r="CO9" s="105"/>
      <c r="CP9" s="105"/>
      <c r="CQ9" s="105"/>
      <c r="CR9" s="105"/>
      <c r="CS9" s="105"/>
      <c r="CT9" s="105"/>
      <c r="CU9" s="105"/>
      <c r="CV9" s="105"/>
      <c r="CW9" s="105"/>
      <c r="CX9" s="8"/>
    </row>
    <row r="10" spans="1:102">
      <c r="B10" s="101" t="s">
        <v>521</v>
      </c>
      <c r="C10" s="102"/>
      <c r="D10" s="102"/>
      <c r="E10" s="102">
        <f>IF(E$9 = 0, 0, _xlfn.XLOOKUP(E$5, 'Project Pele ROI'!$F$29:$AL$29, 'Project Pele ROI'!$F$74:$AL$74, 0))</f>
        <v>0</v>
      </c>
      <c r="F10" s="102">
        <f>IF(F$9 = 0, 0, _xlfn.XLOOKUP(F$5, 'Project Pele ROI'!$F$29:$AL$29, 'Project Pele ROI'!$F$74:$AL$74, 0))</f>
        <v>0</v>
      </c>
      <c r="G10" s="102">
        <f>IF(G$9 = 0, 0, _xlfn.XLOOKUP(G$5, 'Project Pele ROI'!$F$29:$AL$29, 'Project Pele ROI'!$F$74:$AL$74, 0))</f>
        <v>17.05</v>
      </c>
      <c r="H10" s="102">
        <f>IF(H$9 = 0, 0, _xlfn.XLOOKUP(H$5, 'Project Pele ROI'!$F$29:$AL$29, 'Project Pele ROI'!$F$74:$AL$74, 0))</f>
        <v>15.400000000000002</v>
      </c>
      <c r="I10" s="102">
        <f>IF(I$9 = 0, 0, _xlfn.XLOOKUP(I$5, 'Project Pele ROI'!$F$29:$AL$29, 'Project Pele ROI'!$F$74:$AL$74, 0))</f>
        <v>15.400000000000002</v>
      </c>
      <c r="J10" s="102">
        <f>IF(J$9 = 0, 0, _xlfn.XLOOKUP(J$5, 'Project Pele ROI'!$F$29:$AL$29, 'Project Pele ROI'!$F$74:$AL$74, 0))</f>
        <v>14.3</v>
      </c>
      <c r="K10" s="102">
        <f>IF(K$9 = 0, 0, _xlfn.XLOOKUP(K$5, 'Project Pele ROI'!$F$29:$AL$29, 'Project Pele ROI'!$F$74:$AL$74, 0))</f>
        <v>14.3</v>
      </c>
      <c r="L10" s="102">
        <f>IF(L$9 = 0, 0, _xlfn.XLOOKUP(L$5, 'Project Pele ROI'!$F$29:$AL$29, 'Project Pele ROI'!$F$74:$AL$74, 0))</f>
        <v>14.3</v>
      </c>
      <c r="M10" s="102">
        <f>IF(M$9 = 0, 0, _xlfn.XLOOKUP(M$5, 'Project Pele ROI'!$F$29:$AL$29, 'Project Pele ROI'!$F$74:$AL$74, 0))</f>
        <v>14.3</v>
      </c>
      <c r="O10" s="102">
        <f>IF(O$9 = 0, 0, _xlfn.XLOOKUP(O$5, 'Project Pele ROI'!$F$29:$AL$29, 'Project Pele ROI'!$F$75:$AL$75, 0))</f>
        <v>0</v>
      </c>
      <c r="P10" s="102">
        <f>IF(P$9 = 0, 0, _xlfn.XLOOKUP(P$5, 'Project Pele ROI'!$F$29:$AL$29, 'Project Pele ROI'!$F$75:$AL$75, 0))</f>
        <v>0</v>
      </c>
      <c r="Q10" s="102">
        <f>IF(Q$9 = 0, 0, _xlfn.XLOOKUP(Q$5, 'Project Pele ROI'!$F$29:$AL$29, 'Project Pele ROI'!$F$75:$AL$75, 0))</f>
        <v>0</v>
      </c>
      <c r="R10" s="102">
        <f>IF(R$9 = 0, 0, _xlfn.XLOOKUP(R$5, 'Project Pele ROI'!$F$29:$AL$29, 'Project Pele ROI'!$F$75:$AL$75, 0))</f>
        <v>15.5</v>
      </c>
      <c r="S10" s="102">
        <f>IF(S$9 = 0, 0, _xlfn.XLOOKUP(S$5, 'Project Pele ROI'!$F$29:$AL$29, 'Project Pele ROI'!$F$75:$AL$75, 0))</f>
        <v>14</v>
      </c>
      <c r="T10" s="102">
        <f>IF(T$9 = 0, 0, _xlfn.XLOOKUP(T$5, 'Project Pele ROI'!$F$29:$AL$29, 'Project Pele ROI'!$F$75:$AL$75, 0))</f>
        <v>14</v>
      </c>
      <c r="U10" s="102">
        <f>IF(U$9 = 0, 0, _xlfn.XLOOKUP(U$5, 'Project Pele ROI'!$F$29:$AL$29, 'Project Pele ROI'!$F$75:$AL$75, 0))</f>
        <v>13</v>
      </c>
      <c r="V10" s="102">
        <f>IF(V$9 = 0, 0, _xlfn.XLOOKUP(V$5, 'Project Pele ROI'!$F$29:$AL$29, 'Project Pele ROI'!$F$75:$AL$75, 0))</f>
        <v>13</v>
      </c>
      <c r="W10" s="102">
        <f>IF(W$9 = 0, 0, _xlfn.XLOOKUP(W$5, 'Project Pele ROI'!$F$29:$AL$29, 'Project Pele ROI'!$F$75:$AL$75, 0))</f>
        <v>13</v>
      </c>
      <c r="X10" s="102">
        <f>IF(X$9 = 0, 0, _xlfn.XLOOKUP(X$5, 'Project Pele ROI'!$F$29:$AL$29, 'Project Pele ROI'!$F$75:$AL$75, 0))</f>
        <v>13</v>
      </c>
      <c r="Z10" s="102">
        <f>_xlfn.XLOOKUP(Z$5, 'Project Pele ROI'!$F$29:$AL$29, 'Project Pele ROI'!$F$76:$AL$76, 0)</f>
        <v>0</v>
      </c>
      <c r="AA10" s="102">
        <f>_xlfn.XLOOKUP(AA$5, 'Project Pele ROI'!$F$29:$AL$29, 'Project Pele ROI'!$F$76:$AL$76, 0)</f>
        <v>0</v>
      </c>
      <c r="AB10" s="102">
        <f>_xlfn.XLOOKUP(AB$5, 'Project Pele ROI'!$F$29:$AL$29, 'Project Pele ROI'!$F$76:$AL$76, 0)</f>
        <v>0</v>
      </c>
      <c r="AC10" s="102">
        <f>_xlfn.XLOOKUP(AC$5, 'Project Pele ROI'!$F$29:$AL$29, 'Project Pele ROI'!$F$76:$AL$76, 0)</f>
        <v>1</v>
      </c>
      <c r="AD10" s="102">
        <f>_xlfn.XLOOKUP(AD$5, 'Project Pele ROI'!$F$29:$AL$29, 'Project Pele ROI'!$F$76:$AL$76, 0)</f>
        <v>1.2</v>
      </c>
      <c r="AE10" s="102">
        <f>_xlfn.XLOOKUP(AE$5, 'Project Pele ROI'!$F$29:$AL$29, 'Project Pele ROI'!$F$76:$AL$76, 0)</f>
        <v>1.2</v>
      </c>
      <c r="AF10" s="102">
        <f>_xlfn.XLOOKUP(AF$5, 'Project Pele ROI'!$F$29:$AL$29, 'Project Pele ROI'!$F$76:$AL$76, 0)</f>
        <v>1.2</v>
      </c>
      <c r="AG10" s="102">
        <f>_xlfn.XLOOKUP(AG$5, 'Project Pele ROI'!$F$29:$AL$29, 'Project Pele ROI'!$F$76:$AL$76, 0)</f>
        <v>1.2</v>
      </c>
      <c r="AH10" s="102">
        <f>_xlfn.XLOOKUP(AH$5, 'Project Pele ROI'!$F$29:$AL$29, 'Project Pele ROI'!$F$76:$AL$76, 0)</f>
        <v>1.2</v>
      </c>
      <c r="AI10" s="102">
        <f>_xlfn.XLOOKUP(AI$5, 'Project Pele ROI'!$F$29:$AL$29, 'Project Pele ROI'!$F$76:$AL$76, 0)</f>
        <v>1.2</v>
      </c>
      <c r="AK10" s="102">
        <f>_xlfn.XLOOKUP(AK$5, 'Project Pele ROI'!$F$29:$AL$29, 'Project Pele ROI'!$F$77:$AL$77,0)</f>
        <v>0</v>
      </c>
      <c r="AL10" s="102">
        <f>_xlfn.XLOOKUP(AL$5, 'Project Pele ROI'!$F$29:$AL$29, 'Project Pele ROI'!$F$77:$AL$77,0)</f>
        <v>0</v>
      </c>
      <c r="AM10" s="102">
        <f>_xlfn.XLOOKUP(AM$5, 'Project Pele ROI'!$F$29:$AL$29, 'Project Pele ROI'!$F$77:$AL$77,0)</f>
        <v>0</v>
      </c>
      <c r="AN10" s="102">
        <f>_xlfn.XLOOKUP(AN$5, 'Project Pele ROI'!$F$29:$AL$29, 'Project Pele ROI'!$F$77:$AL$77,0)</f>
        <v>500</v>
      </c>
      <c r="AO10" s="102">
        <f>_xlfn.XLOOKUP(AO$5, 'Project Pele ROI'!$F$29:$AL$29, 'Project Pele ROI'!$F$77:$AL$77,0)</f>
        <v>500</v>
      </c>
      <c r="AP10" s="102">
        <f>_xlfn.XLOOKUP(AP$5, 'Project Pele ROI'!$F$29:$AL$29, 'Project Pele ROI'!$F$77:$AL$77,0)</f>
        <v>500</v>
      </c>
      <c r="AQ10" s="102">
        <f>_xlfn.XLOOKUP(AQ$5, 'Project Pele ROI'!$F$29:$AL$29, 'Project Pele ROI'!$F$77:$AL$77,0)</f>
        <v>400</v>
      </c>
      <c r="AR10" s="102">
        <f>_xlfn.XLOOKUP(AR$5, 'Project Pele ROI'!$F$29:$AL$29, 'Project Pele ROI'!$F$77:$AL$77,0)</f>
        <v>375</v>
      </c>
      <c r="AS10" s="102">
        <f>_xlfn.XLOOKUP(AS$5, 'Project Pele ROI'!$F$29:$AL$29, 'Project Pele ROI'!$F$77:$AL$77,0)</f>
        <v>250</v>
      </c>
      <c r="AT10" s="102">
        <f>_xlfn.XLOOKUP(AT$5, 'Project Pele ROI'!$F$29:$AL$29, 'Project Pele ROI'!$F$77:$AL$77,0)</f>
        <v>200</v>
      </c>
      <c r="AV10" s="102">
        <f>_xlfn.XLOOKUP(AV$5, 'Project Pele ROI'!$F$29:$AL$29, 'Project Pele ROI'!$F$78:$AL$78, 0)</f>
        <v>0</v>
      </c>
      <c r="AW10" s="102">
        <f>_xlfn.XLOOKUP(AW$5, 'Project Pele ROI'!$F$29:$AL$29, 'Project Pele ROI'!$F$78:$AL$78, 0)</f>
        <v>0</v>
      </c>
      <c r="AX10" s="102">
        <f>_xlfn.XLOOKUP(AX$5, 'Project Pele ROI'!$F$29:$AL$29, 'Project Pele ROI'!$F$78:$AL$78, 0)</f>
        <v>0</v>
      </c>
      <c r="AY10" s="102">
        <f>_xlfn.XLOOKUP(AY$5, 'Project Pele ROI'!$F$29:$AL$29, 'Project Pele ROI'!$F$78:$AL$78, 0)</f>
        <v>50</v>
      </c>
      <c r="AZ10" s="102">
        <f>_xlfn.XLOOKUP(AZ$5, 'Project Pele ROI'!$F$29:$AL$29, 'Project Pele ROI'!$F$78:$AL$78, 0)</f>
        <v>50</v>
      </c>
      <c r="BA10" s="102">
        <f>_xlfn.XLOOKUP(BA$5, 'Project Pele ROI'!$F$29:$AL$29, 'Project Pele ROI'!$F$78:$AL$78, 0)</f>
        <v>50</v>
      </c>
      <c r="BB10" s="102">
        <f>_xlfn.XLOOKUP(BB$5, 'Project Pele ROI'!$F$29:$AL$29, 'Project Pele ROI'!$F$78:$AL$78, 0)</f>
        <v>50</v>
      </c>
      <c r="BC10" s="102">
        <f>_xlfn.XLOOKUP(BC$5, 'Project Pele ROI'!$F$29:$AL$29, 'Project Pele ROI'!$F$78:$AL$78, 0)</f>
        <v>50</v>
      </c>
      <c r="BD10" s="102">
        <f>_xlfn.XLOOKUP(BD$5, 'Project Pele ROI'!$F$29:$AL$29, 'Project Pele ROI'!$F$78:$AL$78, 0)</f>
        <v>50</v>
      </c>
      <c r="BE10" s="102">
        <f>_xlfn.XLOOKUP(BE$5, 'Project Pele ROI'!$F$29:$AL$29, 'Project Pele ROI'!$F$78:$AL$78, 0)</f>
        <v>50</v>
      </c>
      <c r="BG10" s="102"/>
      <c r="BH10" s="102"/>
      <c r="BI10" s="102"/>
      <c r="BJ10" s="102"/>
      <c r="BK10" s="102"/>
      <c r="BL10" s="102"/>
      <c r="BM10" s="102"/>
      <c r="BN10" s="102"/>
      <c r="BO10" s="102"/>
      <c r="BP10" s="102"/>
      <c r="BR10" s="102"/>
      <c r="BS10" s="102"/>
      <c r="BT10" s="102"/>
      <c r="BU10" s="102"/>
      <c r="BV10" s="102"/>
      <c r="BW10" s="102"/>
      <c r="BX10" s="102"/>
      <c r="BY10" s="102"/>
      <c r="BZ10" s="102"/>
      <c r="CA10" s="102"/>
      <c r="CC10" s="102"/>
      <c r="CD10" s="102"/>
      <c r="CE10" s="102"/>
      <c r="CF10" s="102"/>
      <c r="CG10" s="102"/>
      <c r="CH10" s="102"/>
      <c r="CI10" s="102"/>
      <c r="CJ10" s="102"/>
      <c r="CK10" s="102"/>
      <c r="CL10" s="102"/>
      <c r="CN10" s="102"/>
      <c r="CO10" s="102"/>
      <c r="CP10" s="102"/>
      <c r="CQ10" s="102"/>
      <c r="CR10" s="102"/>
      <c r="CS10" s="102"/>
      <c r="CT10" s="102"/>
      <c r="CU10" s="102"/>
      <c r="CV10" s="102"/>
      <c r="CW10" s="102"/>
    </row>
    <row r="11" spans="1:102">
      <c r="B11" s="101" t="s">
        <v>482</v>
      </c>
      <c r="C11" s="102"/>
      <c r="D11" s="102"/>
      <c r="E11" s="102">
        <f>_xlfn.XLOOKUP(E$5, 'Project Pele ROI'!$F$29:$AL$29, 'Project Pele ROI'!$F$11:$AL$11, 0)</f>
        <v>0</v>
      </c>
      <c r="F11" s="102">
        <f>_xlfn.XLOOKUP(F$5, 'Project Pele ROI'!$F$29:$AL$29, 'Project Pele ROI'!$F$11:$AL$11, 0)</f>
        <v>0</v>
      </c>
      <c r="G11" s="102">
        <f>_xlfn.XLOOKUP(G$5, 'Project Pele ROI'!$F$29:$AL$29, 'Project Pele ROI'!$F$11:$AL$11, 0)</f>
        <v>10.029459562712763</v>
      </c>
      <c r="H11" s="102">
        <f>_xlfn.XLOOKUP(H$5, 'Project Pele ROI'!$F$29:$AL$29, 'Project Pele ROI'!$F$11:$AL$11, 0)</f>
        <v>7.9936876645356092</v>
      </c>
      <c r="I11" s="102">
        <f>_xlfn.XLOOKUP(I$5, 'Project Pele ROI'!$F$29:$AL$29, 'Project Pele ROI'!$F$11:$AL$11, 0)</f>
        <v>7.8044086497841088</v>
      </c>
      <c r="J11" s="102">
        <f>_xlfn.XLOOKUP(J$5, 'Project Pele ROI'!$F$29:$AL$29, 'Project Pele ROI'!$F$11:$AL$11, 0)</f>
        <v>7.5597527033889511</v>
      </c>
      <c r="K11" s="102">
        <f>_xlfn.XLOOKUP(K$5, 'Project Pele ROI'!$F$29:$AL$29, 'Project Pele ROI'!$F$11:$AL$11, 0)</f>
        <v>7.4772372060005621</v>
      </c>
      <c r="L11" s="102">
        <f>_xlfn.XLOOKUP(L$5, 'Project Pele ROI'!$F$29:$AL$29, 'Project Pele ROI'!$F$11:$AL$11, 0)</f>
        <v>7.4061932559196828</v>
      </c>
      <c r="M11" s="102">
        <f>_xlfn.XLOOKUP(M$5, 'Project Pele ROI'!$F$29:$AL$29, 'Project Pele ROI'!$F$11:$AL$11, 0)</f>
        <v>7.3348140947395457</v>
      </c>
      <c r="O11" s="102">
        <f>_xlfn.XLOOKUP(O$5, 'Project Pele ROI'!$F$29:$AL$29, 'Project Pele ROI'!$F$15:$AL$15, 0)</f>
        <v>0</v>
      </c>
      <c r="P11" s="102">
        <f>_xlfn.XLOOKUP(P$5, 'Project Pele ROI'!$F$29:$AL$29, 'Project Pele ROI'!$F$15:$AL$15, 0)</f>
        <v>0</v>
      </c>
      <c r="Q11" s="102">
        <f>_xlfn.XLOOKUP(Q$5, 'Project Pele ROI'!$F$29:$AL$29, 'Project Pele ROI'!$F$15:$AL$15, 0)</f>
        <v>0</v>
      </c>
      <c r="R11" s="102">
        <f>_xlfn.XLOOKUP(R$5, 'Project Pele ROI'!$F$29:$AL$29, 'Project Pele ROI'!$F$15:$AL$15, 0)</f>
        <v>9.9218282647282585</v>
      </c>
      <c r="S11" s="102">
        <f>_xlfn.XLOOKUP(S$5, 'Project Pele ROI'!$F$29:$AL$29, 'Project Pele ROI'!$F$15:$AL$15, 0)</f>
        <v>7.888351492528094</v>
      </c>
      <c r="T11" s="102">
        <f>_xlfn.XLOOKUP(T$5, 'Project Pele ROI'!$F$29:$AL$29, 'Project Pele ROI'!$F$15:$AL$15, 0)</f>
        <v>7.7014031782062293</v>
      </c>
      <c r="U11" s="102">
        <f>_xlfn.XLOOKUP(U$5, 'Project Pele ROI'!$F$29:$AL$29, 'Project Pele ROI'!$F$15:$AL$15, 0)</f>
        <v>7.4591140580973665</v>
      </c>
      <c r="V11" s="102">
        <f>_xlfn.XLOOKUP(V$5, 'Project Pele ROI'!$F$29:$AL$29, 'Project Pele ROI'!$F$15:$AL$15, 0)</f>
        <v>7.3790020728027095</v>
      </c>
      <c r="W11" s="102">
        <f>_xlfn.XLOOKUP(W$5, 'Project Pele ROI'!$F$29:$AL$29, 'Project Pele ROI'!$F$15:$AL$15, 0)</f>
        <v>7.3103988892530154</v>
      </c>
      <c r="X11" s="102">
        <f>_xlfn.XLOOKUP(X$5, 'Project Pele ROI'!$F$29:$AL$29, 'Project Pele ROI'!$F$15:$AL$15, 0)</f>
        <v>7.2414983264852975</v>
      </c>
      <c r="Z11" s="102">
        <f>_xlfn.XLOOKUP(Z$5, 'Project Pele ROI'!$F$29:$AL$29, 'Project Pele ROI'!$F$92:$AL$92, 0)</f>
        <v>0</v>
      </c>
      <c r="AA11" s="102">
        <f>_xlfn.XLOOKUP(AA$5, 'Project Pele ROI'!$F$29:$AL$29, 'Project Pele ROI'!$F$92:$AL$92, 0)</f>
        <v>0</v>
      </c>
      <c r="AB11" s="102">
        <f>_xlfn.XLOOKUP(AB$5, 'Project Pele ROI'!$F$29:$AL$29, 'Project Pele ROI'!$F$92:$AL$92, 0)</f>
        <v>0</v>
      </c>
      <c r="AC11" s="102">
        <f>_xlfn.XLOOKUP(AC$5, 'Project Pele ROI'!$F$29:$AL$29, 'Project Pele ROI'!$F$92:$AL$92, 0)</f>
        <v>0.26</v>
      </c>
      <c r="AD11" s="102">
        <f>_xlfn.XLOOKUP(AD$5, 'Project Pele ROI'!$F$29:$AL$29, 'Project Pele ROI'!$F$92:$AL$92, 0)</f>
        <v>0.26400000000000001</v>
      </c>
      <c r="AE11" s="102">
        <f>_xlfn.XLOOKUP(AE$5, 'Project Pele ROI'!$F$29:$AL$29, 'Project Pele ROI'!$F$92:$AL$92, 0)</f>
        <v>0.26400000000000001</v>
      </c>
      <c r="AF11" s="102">
        <f>_xlfn.XLOOKUP(AF$5, 'Project Pele ROI'!$F$29:$AL$29, 'Project Pele ROI'!$F$92:$AL$92, 0)</f>
        <v>0.26400000000000001</v>
      </c>
      <c r="AG11" s="102">
        <f>_xlfn.XLOOKUP(AG$5, 'Project Pele ROI'!$F$29:$AL$29, 'Project Pele ROI'!$F$92:$AL$92, 0)</f>
        <v>0.26400000000000001</v>
      </c>
      <c r="AH11" s="102">
        <f>_xlfn.XLOOKUP(AH$5, 'Project Pele ROI'!$F$29:$AL$29, 'Project Pele ROI'!$F$92:$AL$92, 0)</f>
        <v>0.26400000000000001</v>
      </c>
      <c r="AI11" s="102">
        <f>_xlfn.XLOOKUP(AI$5, 'Project Pele ROI'!$F$29:$AL$29, 'Project Pele ROI'!$F$92:$AL$92, 0)</f>
        <v>0.26400000000000001</v>
      </c>
      <c r="AK11" s="102">
        <f>_xlfn.XLOOKUP(AK$5, 'Project Pele ROI'!$F$29:$AL$29, 'Project Pele ROI'!$F$19:$AL$19,0)</f>
        <v>0</v>
      </c>
      <c r="AL11" s="102">
        <f>_xlfn.XLOOKUP(AL$5, 'Project Pele ROI'!$F$29:$AL$29, 'Project Pele ROI'!$F$19:$AL$19,0)</f>
        <v>0</v>
      </c>
      <c r="AM11" s="102">
        <f>_xlfn.XLOOKUP(AM$5, 'Project Pele ROI'!$F$29:$AL$29, 'Project Pele ROI'!$F$19:$AL$19,0)</f>
        <v>0</v>
      </c>
      <c r="AN11" s="102">
        <f>_xlfn.XLOOKUP(AN$5, 'Project Pele ROI'!$F$29:$AL$29, 'Project Pele ROI'!$F$19:$AL$19,0)</f>
        <v>0</v>
      </c>
      <c r="AO11" s="102">
        <f>_xlfn.XLOOKUP(AO$5, 'Project Pele ROI'!$F$29:$AL$29, 'Project Pele ROI'!$F$19:$AL$19,0)</f>
        <v>0</v>
      </c>
      <c r="AP11" s="102">
        <f>_xlfn.XLOOKUP(AP$5, 'Project Pele ROI'!$F$29:$AL$29, 'Project Pele ROI'!$F$19:$AL$19,0)</f>
        <v>137.70039217182867</v>
      </c>
      <c r="AQ11" s="102">
        <f>_xlfn.XLOOKUP(AQ$5, 'Project Pele ROI'!$F$29:$AL$29, 'Project Pele ROI'!$F$19:$AL$19,0)</f>
        <v>130.10721629000284</v>
      </c>
      <c r="AR11" s="102">
        <f>_xlfn.XLOOKUP(AR$5, 'Project Pele ROI'!$F$29:$AL$29, 'Project Pele ROI'!$F$19:$AL$19,0)</f>
        <v>124.34641560354686</v>
      </c>
      <c r="AS11" s="102">
        <f>_xlfn.XLOOKUP(AS$5, 'Project Pele ROI'!$F$29:$AL$29, 'Project Pele ROI'!$F$19:$AL$19,0)</f>
        <v>119.83160154567864</v>
      </c>
      <c r="AT11" s="102">
        <f>_xlfn.XLOOKUP(AT$5, 'Project Pele ROI'!$F$29:$AL$29, 'Project Pele ROI'!$F$19:$AL$19,0)</f>
        <v>117.88369698122747</v>
      </c>
      <c r="AV11" s="102">
        <f>_xlfn.XLOOKUP(AV$5, 'Project Pele ROI'!$F$29:$AL$29, 'Project Pele ROI'!$F$23:$AL$23, 0)</f>
        <v>0</v>
      </c>
      <c r="AW11" s="102">
        <f>_xlfn.XLOOKUP(AW$5, 'Project Pele ROI'!$F$29:$AL$29, 'Project Pele ROI'!$F$23:$AL$23, 0)</f>
        <v>0</v>
      </c>
      <c r="AX11" s="102">
        <f>_xlfn.XLOOKUP(AX$5, 'Project Pele ROI'!$F$29:$AL$29, 'Project Pele ROI'!$F$23:$AL$23, 0)</f>
        <v>0</v>
      </c>
      <c r="AY11" s="102">
        <f>_xlfn.XLOOKUP(AY$5, 'Project Pele ROI'!$F$29:$AL$29, 'Project Pele ROI'!$F$23:$AL$23, 0)</f>
        <v>0</v>
      </c>
      <c r="AZ11" s="102">
        <f>_xlfn.XLOOKUP(AZ$5, 'Project Pele ROI'!$F$29:$AL$29, 'Project Pele ROI'!$F$23:$AL$23, 0)</f>
        <v>0</v>
      </c>
      <c r="BA11" s="102">
        <f>_xlfn.XLOOKUP(BA$5, 'Project Pele ROI'!$F$29:$AL$29, 'Project Pele ROI'!$F$23:$AL$23, 0)</f>
        <v>25.702210247459888</v>
      </c>
      <c r="BB11" s="102">
        <f>_xlfn.XLOOKUP(BB$5, 'Project Pele ROI'!$F$29:$AL$29, 'Project Pele ROI'!$F$23:$AL$23, 0)</f>
        <v>23.55335809190284</v>
      </c>
      <c r="BC11" s="102">
        <f>_xlfn.XLOOKUP(BC$5, 'Project Pele ROI'!$F$29:$AL$29, 'Project Pele ROI'!$F$23:$AL$23, 0)</f>
        <v>22.776712536499826</v>
      </c>
      <c r="BD11" s="102">
        <f>_xlfn.XLOOKUP(BD$5, 'Project Pele ROI'!$F$29:$AL$29, 'Project Pele ROI'!$F$23:$AL$23, 0)</f>
        <v>22.475968359965336</v>
      </c>
      <c r="BE11" s="102">
        <f>_xlfn.XLOOKUP(BE$5, 'Project Pele ROI'!$F$29:$AL$29, 'Project Pele ROI'!$F$23:$AL$23, 0)</f>
        <v>22.19315645373937</v>
      </c>
      <c r="BG11" s="102"/>
      <c r="BH11" s="102"/>
      <c r="BI11" s="102"/>
      <c r="BJ11" s="102"/>
      <c r="BK11" s="102"/>
      <c r="BL11" s="102"/>
      <c r="BM11" s="102"/>
      <c r="BN11" s="102"/>
      <c r="BO11" s="102"/>
      <c r="BP11" s="102"/>
      <c r="BR11" s="102"/>
      <c r="BS11" s="102"/>
      <c r="BT11" s="102"/>
      <c r="BU11" s="102"/>
      <c r="BV11" s="102"/>
      <c r="BW11" s="102"/>
      <c r="BX11" s="102"/>
      <c r="BY11" s="102"/>
      <c r="BZ11" s="102"/>
      <c r="CA11" s="102"/>
      <c r="CC11" s="102"/>
      <c r="CD11" s="102"/>
      <c r="CE11" s="102"/>
      <c r="CF11" s="102"/>
      <c r="CG11" s="102"/>
      <c r="CH11" s="102"/>
      <c r="CI11" s="102"/>
      <c r="CJ11" s="102"/>
      <c r="CK11" s="102"/>
      <c r="CL11" s="102"/>
      <c r="CN11" s="102"/>
      <c r="CO11" s="102"/>
      <c r="CP11" s="102"/>
      <c r="CQ11" s="102"/>
      <c r="CR11" s="102"/>
      <c r="CS11" s="102"/>
      <c r="CT11" s="102"/>
      <c r="CU11" s="102"/>
      <c r="CV11" s="102"/>
      <c r="CW11" s="102"/>
    </row>
    <row r="12" spans="1:102" ht="3.75" customHeight="1">
      <c r="B12" s="103"/>
      <c r="C12" s="14"/>
      <c r="D12" s="14"/>
      <c r="E12" s="14"/>
      <c r="F12" s="14"/>
      <c r="G12" s="14"/>
      <c r="H12" s="14"/>
      <c r="I12" s="14"/>
      <c r="J12" s="14"/>
      <c r="K12" s="14"/>
      <c r="L12" s="14"/>
      <c r="M12" s="14"/>
      <c r="O12" s="14"/>
      <c r="P12" s="14"/>
      <c r="Q12" s="14"/>
      <c r="R12" s="14"/>
      <c r="S12" s="14"/>
      <c r="T12" s="14"/>
      <c r="U12" s="14"/>
      <c r="V12" s="14"/>
      <c r="W12" s="14"/>
      <c r="X12" s="14"/>
      <c r="Z12" s="14"/>
      <c r="AA12" s="14"/>
      <c r="AB12" s="14"/>
      <c r="AC12" s="14"/>
      <c r="AD12" s="14"/>
      <c r="AE12" s="14"/>
      <c r="AF12" s="14"/>
      <c r="AG12" s="14"/>
      <c r="AH12" s="14"/>
      <c r="AI12" s="14"/>
      <c r="AK12" s="14"/>
      <c r="AL12" s="14"/>
      <c r="AM12" s="14"/>
      <c r="AN12" s="14"/>
      <c r="AO12" s="14"/>
      <c r="AP12" s="14"/>
      <c r="AQ12" s="14"/>
      <c r="AR12" s="14"/>
      <c r="AS12" s="14"/>
      <c r="AT12" s="14"/>
      <c r="AV12" s="14"/>
      <c r="AW12" s="14"/>
      <c r="AX12" s="14"/>
      <c r="AY12" s="14"/>
      <c r="AZ12" s="14"/>
      <c r="BA12" s="14"/>
      <c r="BB12" s="14"/>
      <c r="BC12" s="14"/>
      <c r="BD12" s="14"/>
      <c r="BE12" s="14"/>
      <c r="BG12" s="14"/>
      <c r="BH12" s="14"/>
      <c r="BI12" s="14"/>
      <c r="BJ12" s="14"/>
      <c r="BK12" s="14"/>
      <c r="BL12" s="14"/>
      <c r="BM12" s="14"/>
      <c r="BN12" s="14"/>
      <c r="BO12" s="14"/>
      <c r="BP12" s="14"/>
      <c r="BR12" s="14"/>
      <c r="BS12" s="14"/>
      <c r="BT12" s="14"/>
      <c r="BU12" s="14"/>
      <c r="BV12" s="14"/>
      <c r="BW12" s="14"/>
      <c r="BX12" s="14"/>
      <c r="BY12" s="14"/>
      <c r="BZ12" s="14"/>
      <c r="CA12" s="14"/>
      <c r="CC12" s="14"/>
      <c r="CD12" s="14"/>
      <c r="CE12" s="14"/>
      <c r="CF12" s="14"/>
      <c r="CG12" s="14"/>
      <c r="CH12" s="14"/>
      <c r="CI12" s="14"/>
      <c r="CJ12" s="14"/>
      <c r="CK12" s="14"/>
      <c r="CL12" s="14"/>
      <c r="CN12" s="14"/>
      <c r="CO12" s="14"/>
      <c r="CP12" s="14"/>
      <c r="CQ12" s="14"/>
      <c r="CR12" s="14"/>
      <c r="CS12" s="14"/>
      <c r="CT12" s="14"/>
      <c r="CU12" s="14"/>
      <c r="CV12" s="14"/>
      <c r="CW12" s="14"/>
    </row>
    <row r="13" spans="1:102" s="100" customFormat="1">
      <c r="B13" s="104" t="s">
        <v>487</v>
      </c>
      <c r="C13" s="105"/>
      <c r="D13" s="105"/>
      <c r="E13" s="105">
        <f>_xlfn.XLOOKUP(E$5, 'Project Eureka ROI'!$F$21:$AL$21, 'Project Eureka ROI'!$F$40:$AL$40, 0 )</f>
        <v>0</v>
      </c>
      <c r="F13" s="105">
        <f>_xlfn.XLOOKUP(F$5, 'Project Eureka ROI'!$F$21:$AL$21, 'Project Eureka ROI'!$F$40:$AL$40, 0 )</f>
        <v>0</v>
      </c>
      <c r="G13" s="105">
        <f>_xlfn.XLOOKUP(G$5, 'Project Eureka ROI'!$F$21:$AL$21, 'Project Eureka ROI'!$F$40:$AL$40, 0 )</f>
        <v>0</v>
      </c>
      <c r="H13" s="105">
        <f>_xlfn.XLOOKUP(H$5, 'Project Eureka ROI'!$F$21:$AL$21, 'Project Eureka ROI'!$F$40:$AL$40, 0 )</f>
        <v>0</v>
      </c>
      <c r="I13" s="105">
        <f>_xlfn.XLOOKUP(I$5, 'Project Eureka ROI'!$F$21:$AL$21, 'Project Eureka ROI'!$F$40:$AL$40, 0 )</f>
        <v>0</v>
      </c>
      <c r="J13" s="105">
        <f>_xlfn.XLOOKUP(J$5, 'Project Eureka ROI'!$F$21:$AL$21, 'Project Eureka ROI'!$F$40:$AL$40, 0 )</f>
        <v>0</v>
      </c>
      <c r="K13" s="105">
        <f>_xlfn.XLOOKUP(K$5, 'Project Eureka ROI'!$F$21:$AL$21, 'Project Eureka ROI'!$F$40:$AL$40, 0 )</f>
        <v>0</v>
      </c>
      <c r="L13" s="105">
        <f>_xlfn.XLOOKUP(L$5, 'Project Eureka ROI'!$F$21:$AL$21, 'Project Eureka ROI'!$F$40:$AL$40, 0 )</f>
        <v>0</v>
      </c>
      <c r="M13" s="105">
        <f>_xlfn.XLOOKUP(M$5, 'Project Eureka ROI'!$F$21:$AL$21, 'Project Eureka ROI'!$F$40:$AL$40, 0 )</f>
        <v>0</v>
      </c>
      <c r="O13" s="105">
        <f>_xlfn.XLOOKUP(O$5, 'Project Eureka ROI'!$F$21:$AL$21, 'Project Eureka ROI'!$F$41:$AL$41, 0 )</f>
        <v>0</v>
      </c>
      <c r="P13" s="105">
        <f>_xlfn.XLOOKUP(P$5, 'Project Eureka ROI'!$F$21:$AL$21, 'Project Eureka ROI'!$F$41:$AL$41, 0 )</f>
        <v>0</v>
      </c>
      <c r="Q13" s="105">
        <f>_xlfn.XLOOKUP(Q$5, 'Project Eureka ROI'!$F$21:$AL$21, 'Project Eureka ROI'!$F$41:$AL$41, 0 )</f>
        <v>0</v>
      </c>
      <c r="R13" s="105">
        <f>_xlfn.XLOOKUP(R$5, 'Project Eureka ROI'!$F$21:$AL$21, 'Project Eureka ROI'!$F$41:$AL$41, 0 )</f>
        <v>0</v>
      </c>
      <c r="S13" s="105">
        <f>_xlfn.XLOOKUP(S$5, 'Project Eureka ROI'!$F$21:$AL$21, 'Project Eureka ROI'!$F$41:$AL$41, 0 )</f>
        <v>2687.2383999999997</v>
      </c>
      <c r="T13" s="105">
        <f>_xlfn.XLOOKUP(T$5, 'Project Eureka ROI'!$F$21:$AL$21, 'Project Eureka ROI'!$F$41:$AL$41, 0 )</f>
        <v>7677.8239999999996</v>
      </c>
      <c r="U13" s="105">
        <f>_xlfn.XLOOKUP(U$5, 'Project Eureka ROI'!$F$21:$AL$21, 'Project Eureka ROI'!$F$41:$AL$41, 0 )</f>
        <v>7677.8239999999996</v>
      </c>
      <c r="V13" s="105">
        <f>_xlfn.XLOOKUP(V$5, 'Project Eureka ROI'!$F$21:$AL$21, 'Project Eureka ROI'!$F$41:$AL$41, 0 )</f>
        <v>7677.8239999999996</v>
      </c>
      <c r="W13" s="105">
        <f>_xlfn.XLOOKUP(W$5, 'Project Eureka ROI'!$F$21:$AL$21, 'Project Eureka ROI'!$F$41:$AL$41, 0 )</f>
        <v>7677.8239999999996</v>
      </c>
      <c r="X13" s="105">
        <f>_xlfn.XLOOKUP(X$5, 'Project Eureka ROI'!$F$21:$AL$21, 'Project Eureka ROI'!$F$41:$AL$41, 0 )</f>
        <v>7677.8239999999996</v>
      </c>
      <c r="Z13" s="105">
        <f>_xlfn.XLOOKUP(Z$5, 'Project Eureka ROI'!$F$21:$AL$21, 'Project Eureka ROI'!$F$42:$AL$42, 0 )</f>
        <v>0</v>
      </c>
      <c r="AA13" s="105">
        <f>_xlfn.XLOOKUP(AA$5, 'Project Eureka ROI'!$F$21:$AL$21, 'Project Eureka ROI'!$F$42:$AL$42, 0 )</f>
        <v>0</v>
      </c>
      <c r="AB13" s="105">
        <f>_xlfn.XLOOKUP(AB$5, 'Project Eureka ROI'!$F$21:$AL$21, 'Project Eureka ROI'!$F$42:$AL$42, 0 )</f>
        <v>0</v>
      </c>
      <c r="AC13" s="105">
        <f>_xlfn.XLOOKUP(AC$5, 'Project Eureka ROI'!$F$21:$AL$21, 'Project Eureka ROI'!$F$42:$AL$42, 0 )</f>
        <v>0</v>
      </c>
      <c r="AD13" s="105">
        <f>_xlfn.XLOOKUP(AD$5, 'Project Eureka ROI'!$F$21:$AL$21, 'Project Eureka ROI'!$F$42:$AL$42, 0 )</f>
        <v>4568.3052799999996</v>
      </c>
      <c r="AE13" s="105">
        <f>_xlfn.XLOOKUP(AE$5, 'Project Eureka ROI'!$F$21:$AL$21, 'Project Eureka ROI'!$F$42:$AL$42, 0 )</f>
        <v>13052.300799999999</v>
      </c>
      <c r="AF13" s="105">
        <f>_xlfn.XLOOKUP(AF$5, 'Project Eureka ROI'!$F$21:$AL$21, 'Project Eureka ROI'!$F$42:$AL$42, 0 )</f>
        <v>13052.300799999999</v>
      </c>
      <c r="AG13" s="105">
        <f>_xlfn.XLOOKUP(AG$5, 'Project Eureka ROI'!$F$21:$AL$21, 'Project Eureka ROI'!$F$42:$AL$42, 0 )</f>
        <v>13052.300799999999</v>
      </c>
      <c r="AH13" s="105">
        <f>_xlfn.XLOOKUP(AH$5, 'Project Eureka ROI'!$F$21:$AL$21, 'Project Eureka ROI'!$F$42:$AL$42, 0 )</f>
        <v>13052.300799999999</v>
      </c>
      <c r="AI13" s="105">
        <f>_xlfn.XLOOKUP(AI$5, 'Project Eureka ROI'!$F$21:$AL$21, 'Project Eureka ROI'!$F$42:$AL$42, 0 )</f>
        <v>13052.300799999999</v>
      </c>
      <c r="AK13" s="105"/>
      <c r="AL13" s="105"/>
      <c r="AM13" s="105"/>
      <c r="AN13" s="105"/>
      <c r="AO13" s="105"/>
      <c r="AP13" s="105"/>
      <c r="AQ13" s="105"/>
      <c r="AR13" s="105"/>
      <c r="AS13" s="105"/>
      <c r="AT13" s="105"/>
      <c r="AV13" s="105"/>
      <c r="AW13" s="105"/>
      <c r="AX13" s="105"/>
      <c r="AY13" s="105"/>
      <c r="AZ13" s="105"/>
      <c r="BA13" s="105"/>
      <c r="BB13" s="105"/>
      <c r="BC13" s="105"/>
      <c r="BD13" s="105"/>
      <c r="BE13" s="105"/>
      <c r="BG13" s="105">
        <f>_xlfn.XLOOKUP(BG$5, 'Project Eureka ROI'!$F$21:$AL$21, 'Project Eureka ROI'!$F$43:$AL$43, 0)</f>
        <v>0</v>
      </c>
      <c r="BH13" s="105">
        <f>_xlfn.XLOOKUP(BH$5, 'Project Eureka ROI'!$F$21:$AL$21, 'Project Eureka ROI'!$F$43:$AL$43, 0)</f>
        <v>196</v>
      </c>
      <c r="BI13" s="105">
        <f>_xlfn.XLOOKUP(BI$5, 'Project Eureka ROI'!$F$21:$AL$21, 'Project Eureka ROI'!$F$43:$AL$43, 0)</f>
        <v>199.92000000000002</v>
      </c>
      <c r="BJ13" s="105">
        <f>_xlfn.XLOOKUP(BJ$5, 'Project Eureka ROI'!$F$21:$AL$21, 'Project Eureka ROI'!$F$43:$AL$43, 0)</f>
        <v>203.91840000000002</v>
      </c>
      <c r="BK13" s="105">
        <f>_xlfn.XLOOKUP(BK$5, 'Project Eureka ROI'!$F$21:$AL$21, 'Project Eureka ROI'!$F$43:$AL$43, 0)</f>
        <v>207.99676800000003</v>
      </c>
      <c r="BL13" s="105">
        <f>_xlfn.XLOOKUP(BL$5, 'Project Eureka ROI'!$F$21:$AL$21, 'Project Eureka ROI'!$F$43:$AL$43, 0)</f>
        <v>212.15670336000002</v>
      </c>
      <c r="BM13" s="105">
        <f>_xlfn.XLOOKUP(BM$5, 'Project Eureka ROI'!$F$21:$AL$21, 'Project Eureka ROI'!$F$43:$AL$43, 0)</f>
        <v>216.39983742720003</v>
      </c>
      <c r="BN13" s="105">
        <f>_xlfn.XLOOKUP(BN$5, 'Project Eureka ROI'!$F$21:$AL$21, 'Project Eureka ROI'!$F$43:$AL$43, 0)</f>
        <v>222.89183255001603</v>
      </c>
      <c r="BO13" s="105">
        <f>_xlfn.XLOOKUP(BO$5, 'Project Eureka ROI'!$F$21:$AL$21, 'Project Eureka ROI'!$F$43:$AL$43, 0)</f>
        <v>229.57858752651651</v>
      </c>
      <c r="BP13" s="105">
        <f>_xlfn.XLOOKUP(BP$5, 'Project Eureka ROI'!$F$21:$AL$21, 'Project Eureka ROI'!$F$43:$AL$43, 0)</f>
        <v>236.465945152312</v>
      </c>
      <c r="BR13" s="105">
        <f>_xlfn.XLOOKUP(BR$5, 'Project Eureka ROI'!$F$21:$AL$21, 'Project Eureka ROI'!$F$44:$AL$44, 0)</f>
        <v>0</v>
      </c>
      <c r="BS13" s="105">
        <f>_xlfn.XLOOKUP(BS$5, 'Project Eureka ROI'!$F$21:$AL$21, 'Project Eureka ROI'!$F$44:$AL$44, 0)</f>
        <v>135</v>
      </c>
      <c r="BT13" s="105">
        <f>_xlfn.XLOOKUP(BT$5, 'Project Eureka ROI'!$F$21:$AL$21, 'Project Eureka ROI'!$F$44:$AL$44, 0)</f>
        <v>137.69999999999999</v>
      </c>
      <c r="BU13" s="105">
        <f>_xlfn.XLOOKUP(BU$5, 'Project Eureka ROI'!$F$21:$AL$21, 'Project Eureka ROI'!$F$44:$AL$44, 0)</f>
        <v>140.45399999999998</v>
      </c>
      <c r="BV13" s="105">
        <f>_xlfn.XLOOKUP(BV$5, 'Project Eureka ROI'!$F$21:$AL$21, 'Project Eureka ROI'!$F$44:$AL$44, 0)</f>
        <v>143.26307999999997</v>
      </c>
      <c r="BW13" s="105">
        <f>_xlfn.XLOOKUP(BW$5, 'Project Eureka ROI'!$F$21:$AL$21, 'Project Eureka ROI'!$F$44:$AL$44, 0)</f>
        <v>146.12834159999997</v>
      </c>
      <c r="BX13" s="105">
        <f>_xlfn.XLOOKUP(BX$5, 'Project Eureka ROI'!$F$21:$AL$21, 'Project Eureka ROI'!$F$44:$AL$44, 0)</f>
        <v>149.05090843199997</v>
      </c>
      <c r="BY13" s="105">
        <f>_xlfn.XLOOKUP(BY$5, 'Project Eureka ROI'!$F$21:$AL$21, 'Project Eureka ROI'!$F$44:$AL$44, 0)</f>
        <v>153.52243568495999</v>
      </c>
      <c r="BZ13" s="105">
        <f>_xlfn.XLOOKUP(BZ$5, 'Project Eureka ROI'!$F$21:$AL$21, 'Project Eureka ROI'!$F$44:$AL$44, 0)</f>
        <v>158.1281087555088</v>
      </c>
      <c r="CA13" s="105">
        <f>_xlfn.XLOOKUP(CA$5, 'Project Eureka ROI'!$F$21:$AL$21, 'Project Eureka ROI'!$F$44:$AL$44, 0)</f>
        <v>162.87195201817408</v>
      </c>
      <c r="CC13" s="105">
        <f>_xlfn.XLOOKUP(CC$5, 'Project Eureka ROI'!$F$21:$AL$21, 'Project Eureka ROI'!$F$45:$AL$45, 0)</f>
        <v>0</v>
      </c>
      <c r="CD13" s="105">
        <f>_xlfn.XLOOKUP(CD$5, 'Project Eureka ROI'!$F$21:$AL$21, 'Project Eureka ROI'!$F$45:$AL$45, 0)</f>
        <v>3500</v>
      </c>
      <c r="CE13" s="105">
        <f>_xlfn.XLOOKUP(CE$5, 'Project Eureka ROI'!$F$21:$AL$21, 'Project Eureka ROI'!$F$45:$AL$45, 0)</f>
        <v>4375</v>
      </c>
      <c r="CF13" s="105">
        <f>_xlfn.XLOOKUP(CF$5, 'Project Eureka ROI'!$F$21:$AL$21, 'Project Eureka ROI'!$F$45:$AL$45, 0)</f>
        <v>4812.5</v>
      </c>
      <c r="CG13" s="105">
        <f>_xlfn.XLOOKUP(CG$5, 'Project Eureka ROI'!$F$21:$AL$21, 'Project Eureka ROI'!$F$45:$AL$45, 0)</f>
        <v>5293.75</v>
      </c>
      <c r="CH13" s="105">
        <f>_xlfn.XLOOKUP(CH$5, 'Project Eureka ROI'!$F$21:$AL$21, 'Project Eureka ROI'!$F$45:$AL$45, 0)</f>
        <v>5823.1250000000009</v>
      </c>
      <c r="CI13" s="105">
        <f>_xlfn.XLOOKUP(CI$5, 'Project Eureka ROI'!$F$21:$AL$21, 'Project Eureka ROI'!$F$45:$AL$45, 0)</f>
        <v>6114.2812500000009</v>
      </c>
      <c r="CJ13" s="105">
        <f>_xlfn.XLOOKUP(CJ$5, 'Project Eureka ROI'!$F$21:$AL$21, 'Project Eureka ROI'!$F$45:$AL$45, 0)</f>
        <v>6419.9953125000011</v>
      </c>
      <c r="CK13" s="105">
        <f>_xlfn.XLOOKUP(CK$5, 'Project Eureka ROI'!$F$21:$AL$21, 'Project Eureka ROI'!$F$45:$AL$45, 0)</f>
        <v>6300</v>
      </c>
      <c r="CL13" s="105">
        <f>_xlfn.XLOOKUP(CL$5, 'Project Eureka ROI'!$F$21:$AL$21, 'Project Eureka ROI'!$F$45:$AL$45, 0)</f>
        <v>6300</v>
      </c>
      <c r="CN13" s="105">
        <f>_xlfn.XLOOKUP(CN$5, 'Project Eureka ROI'!$F$21:$AL$21, 'Project Eureka ROI'!$F$46:$AL$46, 0)</f>
        <v>0</v>
      </c>
      <c r="CO13" s="105">
        <f>_xlfn.XLOOKUP(CO$5, 'Project Eureka ROI'!$F$21:$AL$21, 'Project Eureka ROI'!$F$46:$AL$46, 0)</f>
        <v>12480</v>
      </c>
      <c r="CP13" s="105">
        <f>_xlfn.XLOOKUP(CP$5, 'Project Eureka ROI'!$F$21:$AL$21, 'Project Eureka ROI'!$F$46:$AL$46, 0)</f>
        <v>15600</v>
      </c>
      <c r="CQ13" s="105">
        <f>_xlfn.XLOOKUP(CQ$5, 'Project Eureka ROI'!$F$21:$AL$21, 'Project Eureka ROI'!$F$46:$AL$46, 0)</f>
        <v>17160</v>
      </c>
      <c r="CR13" s="105">
        <f>_xlfn.XLOOKUP(CR$5, 'Project Eureka ROI'!$F$21:$AL$21, 'Project Eureka ROI'!$F$46:$AL$46, 0)</f>
        <v>18876</v>
      </c>
      <c r="CS13" s="105">
        <f>_xlfn.XLOOKUP(CS$5, 'Project Eureka ROI'!$F$21:$AL$21, 'Project Eureka ROI'!$F$46:$AL$46, 0)</f>
        <v>20763.600000000002</v>
      </c>
      <c r="CT13" s="105">
        <f>_xlfn.XLOOKUP(CT$5, 'Project Eureka ROI'!$F$21:$AL$21, 'Project Eureka ROI'!$F$46:$AL$46, 0)</f>
        <v>21801.780000000002</v>
      </c>
      <c r="CU13" s="105">
        <f>_xlfn.XLOOKUP(CU$5, 'Project Eureka ROI'!$F$21:$AL$21, 'Project Eureka ROI'!$F$46:$AL$46, 0)</f>
        <v>22891.869000000002</v>
      </c>
      <c r="CV13" s="105">
        <f>_xlfn.XLOOKUP(CV$5, 'Project Eureka ROI'!$F$21:$AL$21, 'Project Eureka ROI'!$F$46:$AL$46, 0)</f>
        <v>23000</v>
      </c>
      <c r="CW13" s="105">
        <f>_xlfn.XLOOKUP(CW$5, 'Project Eureka ROI'!$F$21:$AL$21, 'Project Eureka ROI'!$F$46:$AL$46, 0)</f>
        <v>23000</v>
      </c>
      <c r="CX13" s="8"/>
    </row>
    <row r="14" spans="1:102">
      <c r="B14" s="101" t="s">
        <v>521</v>
      </c>
      <c r="C14" s="102"/>
      <c r="D14" s="102"/>
      <c r="E14" s="102">
        <f t="shared" ref="E14:M14" si="22">E$10</f>
        <v>0</v>
      </c>
      <c r="F14" s="102">
        <f t="shared" si="22"/>
        <v>0</v>
      </c>
      <c r="G14" s="102">
        <f t="shared" si="22"/>
        <v>17.05</v>
      </c>
      <c r="H14" s="102">
        <f t="shared" si="22"/>
        <v>15.400000000000002</v>
      </c>
      <c r="I14" s="102">
        <f t="shared" si="22"/>
        <v>15.400000000000002</v>
      </c>
      <c r="J14" s="102">
        <f t="shared" si="22"/>
        <v>14.3</v>
      </c>
      <c r="K14" s="102">
        <f t="shared" si="22"/>
        <v>14.3</v>
      </c>
      <c r="L14" s="102">
        <f t="shared" si="22"/>
        <v>14.3</v>
      </c>
      <c r="M14" s="102">
        <f t="shared" si="22"/>
        <v>14.3</v>
      </c>
      <c r="O14" s="102">
        <f>IF(O$13 = 0, 0, _xlfn.XLOOKUP(O$5, 'Project Eureka ROI'!$F$21:$AL$21, 'Project Eureka ROI'!$F$73:$AL$73, 0 ))</f>
        <v>0</v>
      </c>
      <c r="P14" s="102">
        <f>IF(P$13 = 0, 0, _xlfn.XLOOKUP(P$5, 'Project Eureka ROI'!$F$21:$AL$21, 'Project Eureka ROI'!$F$73:$AL$73, 0 ))</f>
        <v>0</v>
      </c>
      <c r="Q14" s="102">
        <f>IF(Q$13 = 0, 0, _xlfn.XLOOKUP(Q$5, 'Project Eureka ROI'!$F$21:$AL$21, 'Project Eureka ROI'!$F$73:$AL$73, 0 ))</f>
        <v>0</v>
      </c>
      <c r="R14" s="102">
        <f>IF(R$13 = 0, 0, _xlfn.XLOOKUP(R$5, 'Project Eureka ROI'!$F$21:$AL$21, 'Project Eureka ROI'!$F$73:$AL$73, 0 ))</f>
        <v>0</v>
      </c>
      <c r="S14" s="102">
        <f>IF(S$13 = 0, 0, _xlfn.XLOOKUP(S$5, 'Project Eureka ROI'!$F$21:$AL$21, 'Project Eureka ROI'!$F$73:$AL$73, 0 ))</f>
        <v>14</v>
      </c>
      <c r="T14" s="102">
        <f>IF(T$13 = 0, 0, _xlfn.XLOOKUP(T$5, 'Project Eureka ROI'!$F$21:$AL$21, 'Project Eureka ROI'!$F$73:$AL$73, 0 ))</f>
        <v>13</v>
      </c>
      <c r="U14" s="102">
        <f>IF(U$13 = 0, 0, _xlfn.XLOOKUP(U$5, 'Project Eureka ROI'!$F$21:$AL$21, 'Project Eureka ROI'!$F$73:$AL$73, 0 ))</f>
        <v>13</v>
      </c>
      <c r="V14" s="102">
        <f>IF(V$13 = 0, 0, _xlfn.XLOOKUP(V$5, 'Project Eureka ROI'!$F$21:$AL$21, 'Project Eureka ROI'!$F$73:$AL$73, 0 ))</f>
        <v>13</v>
      </c>
      <c r="W14" s="102">
        <f>IF(W$13 = 0, 0, _xlfn.XLOOKUP(W$5, 'Project Eureka ROI'!$F$21:$AL$21, 'Project Eureka ROI'!$F$73:$AL$73, 0 ))</f>
        <v>13</v>
      </c>
      <c r="X14" s="102">
        <f>IF(X$13 = 0, 0, _xlfn.XLOOKUP(X$5, 'Project Eureka ROI'!$F$21:$AL$21, 'Project Eureka ROI'!$F$73:$AL$73, 0 ))</f>
        <v>13</v>
      </c>
      <c r="Z14" s="102">
        <f>_xlfn.XLOOKUP(Z$5, 'Project Eureka ROI'!$F$21:$AL$21, 'Project Eureka ROI'!$F$74:$AL$74, 0 )</f>
        <v>0</v>
      </c>
      <c r="AA14" s="102">
        <f>_xlfn.XLOOKUP(AA$5, 'Project Eureka ROI'!$F$21:$AL$21, 'Project Eureka ROI'!$F$74:$AL$74, 0 )</f>
        <v>0</v>
      </c>
      <c r="AB14" s="102">
        <f>_xlfn.XLOOKUP(AB$5, 'Project Eureka ROI'!$F$21:$AL$21, 'Project Eureka ROI'!$F$74:$AL$74, 0 )</f>
        <v>0</v>
      </c>
      <c r="AC14" s="102">
        <f>_xlfn.XLOOKUP(AC$5, 'Project Eureka ROI'!$F$21:$AL$21, 'Project Eureka ROI'!$F$74:$AL$74, 0 )</f>
        <v>0</v>
      </c>
      <c r="AD14" s="102">
        <f>_xlfn.XLOOKUP(AD$5, 'Project Eureka ROI'!$F$21:$AL$21, 'Project Eureka ROI'!$F$74:$AL$74, 0 )</f>
        <v>1.2</v>
      </c>
      <c r="AE14" s="102">
        <f>_xlfn.XLOOKUP(AE$5, 'Project Eureka ROI'!$F$21:$AL$21, 'Project Eureka ROI'!$F$74:$AL$74, 0 )</f>
        <v>1.2</v>
      </c>
      <c r="AF14" s="102">
        <f>_xlfn.XLOOKUP(AF$5, 'Project Eureka ROI'!$F$21:$AL$21, 'Project Eureka ROI'!$F$74:$AL$74, 0 )</f>
        <v>1.2</v>
      </c>
      <c r="AG14" s="102">
        <f>_xlfn.XLOOKUP(AG$5, 'Project Eureka ROI'!$F$21:$AL$21, 'Project Eureka ROI'!$F$74:$AL$74, 0 )</f>
        <v>1.2</v>
      </c>
      <c r="AH14" s="102">
        <f>_xlfn.XLOOKUP(AH$5, 'Project Eureka ROI'!$F$21:$AL$21, 'Project Eureka ROI'!$F$74:$AL$74, 0 )</f>
        <v>1.2</v>
      </c>
      <c r="AI14" s="102">
        <f>_xlfn.XLOOKUP(AI$5, 'Project Eureka ROI'!$F$21:$AL$21, 'Project Eureka ROI'!$F$74:$AL$74, 0 )</f>
        <v>1.2</v>
      </c>
      <c r="AK14" s="102"/>
      <c r="AL14" s="102"/>
      <c r="AM14" s="102"/>
      <c r="AN14" s="102"/>
      <c r="AO14" s="102"/>
      <c r="AP14" s="102"/>
      <c r="AQ14" s="102"/>
      <c r="AR14" s="102"/>
      <c r="AS14" s="102"/>
      <c r="AT14" s="102"/>
      <c r="AV14" s="102"/>
      <c r="AW14" s="102"/>
      <c r="AX14" s="102"/>
      <c r="AY14" s="102"/>
      <c r="AZ14" s="102"/>
      <c r="BA14" s="102"/>
      <c r="BB14" s="102"/>
      <c r="BC14" s="102"/>
      <c r="BD14" s="102"/>
      <c r="BE14" s="102"/>
      <c r="BG14" s="102">
        <f>_xlfn.XLOOKUP(BG$5, 'Project Eureka ROI'!$F$21:$AL$21, 'Project Eureka ROI'!$F$75:$AL$75, 0)</f>
        <v>0</v>
      </c>
      <c r="BH14" s="102">
        <f>_xlfn.XLOOKUP(BH$5, 'Project Eureka ROI'!$F$21:$AL$21, 'Project Eureka ROI'!$F$75:$AL$75, 0)</f>
        <v>45.918367346938773</v>
      </c>
      <c r="BI14" s="102">
        <f>_xlfn.XLOOKUP(BI$5, 'Project Eureka ROI'!$F$21:$AL$21, 'Project Eureka ROI'!$F$75:$AL$75, 0)</f>
        <v>45.918367346938773</v>
      </c>
      <c r="BJ14" s="102">
        <f>_xlfn.XLOOKUP(BJ$5, 'Project Eureka ROI'!$F$21:$AL$21, 'Project Eureka ROI'!$F$75:$AL$75, 0)</f>
        <v>45.918367346938773</v>
      </c>
      <c r="BK14" s="102">
        <f>_xlfn.XLOOKUP(BK$5, 'Project Eureka ROI'!$F$21:$AL$21, 'Project Eureka ROI'!$F$75:$AL$75, 0)</f>
        <v>45.918367346938773</v>
      </c>
      <c r="BL14" s="102">
        <f>_xlfn.XLOOKUP(BL$5, 'Project Eureka ROI'!$F$21:$AL$21, 'Project Eureka ROI'!$F$75:$AL$75, 0)</f>
        <v>45.918367346938773</v>
      </c>
      <c r="BM14" s="102">
        <f>_xlfn.XLOOKUP(BM$5, 'Project Eureka ROI'!$F$21:$AL$21, 'Project Eureka ROI'!$F$75:$AL$75, 0)</f>
        <v>45.918367346938773</v>
      </c>
      <c r="BN14" s="102">
        <f>_xlfn.XLOOKUP(BN$5, 'Project Eureka ROI'!$F$21:$AL$21, 'Project Eureka ROI'!$F$75:$AL$75, 0)</f>
        <v>45.918367346938773</v>
      </c>
      <c r="BO14" s="102">
        <f>_xlfn.XLOOKUP(BO$5, 'Project Eureka ROI'!$F$21:$AL$21, 'Project Eureka ROI'!$F$75:$AL$75, 0)</f>
        <v>45.918367346938773</v>
      </c>
      <c r="BP14" s="102">
        <f>_xlfn.XLOOKUP(BP$5, 'Project Eureka ROI'!$F$21:$AL$21, 'Project Eureka ROI'!$F$75:$AL$75, 0)</f>
        <v>45.918367346938773</v>
      </c>
      <c r="BR14" s="102">
        <f>_xlfn.XLOOKUP(BR$5, 'Project Eureka ROI'!$F$21:$AL$21, 'Project Eureka ROI'!$F$76:$AL$76, 0)</f>
        <v>0</v>
      </c>
      <c r="BS14" s="102">
        <f>_xlfn.XLOOKUP(BS$5, 'Project Eureka ROI'!$F$21:$AL$21, 'Project Eureka ROI'!$F$76:$AL$76, 0)</f>
        <v>24.385185185185186</v>
      </c>
      <c r="BT14" s="102">
        <f>_xlfn.XLOOKUP(BT$5, 'Project Eureka ROI'!$F$21:$AL$21, 'Project Eureka ROI'!$F$76:$AL$76, 0)</f>
        <v>24.385185185185186</v>
      </c>
      <c r="BU14" s="102">
        <f>_xlfn.XLOOKUP(BU$5, 'Project Eureka ROI'!$F$21:$AL$21, 'Project Eureka ROI'!$F$76:$AL$76, 0)</f>
        <v>24.385185185185186</v>
      </c>
      <c r="BV14" s="102">
        <f>_xlfn.XLOOKUP(BV$5, 'Project Eureka ROI'!$F$21:$AL$21, 'Project Eureka ROI'!$F$76:$AL$76, 0)</f>
        <v>24.385185185185186</v>
      </c>
      <c r="BW14" s="102">
        <f>_xlfn.XLOOKUP(BW$5, 'Project Eureka ROI'!$F$21:$AL$21, 'Project Eureka ROI'!$F$76:$AL$76, 0)</f>
        <v>24.385185185185186</v>
      </c>
      <c r="BX14" s="102">
        <f>_xlfn.XLOOKUP(BX$5, 'Project Eureka ROI'!$F$21:$AL$21, 'Project Eureka ROI'!$F$76:$AL$76, 0)</f>
        <v>24.385185185185186</v>
      </c>
      <c r="BY14" s="102">
        <f>_xlfn.XLOOKUP(BY$5, 'Project Eureka ROI'!$F$21:$AL$21, 'Project Eureka ROI'!$F$76:$AL$76, 0)</f>
        <v>24.385185185185186</v>
      </c>
      <c r="BZ14" s="102">
        <f>_xlfn.XLOOKUP(BZ$5, 'Project Eureka ROI'!$F$21:$AL$21, 'Project Eureka ROI'!$F$76:$AL$76, 0)</f>
        <v>24.385185185185186</v>
      </c>
      <c r="CA14" s="102">
        <f>_xlfn.XLOOKUP(CA$5, 'Project Eureka ROI'!$F$21:$AL$21, 'Project Eureka ROI'!$F$76:$AL$76, 0)</f>
        <v>24.385185185185186</v>
      </c>
      <c r="CC14" s="102">
        <f>_xlfn.XLOOKUP(CC$5, 'Project Eureka ROI'!$F$21:$AL$21, 'Project Eureka ROI'!$F$77:$AL$77, 0)</f>
        <v>0</v>
      </c>
      <c r="CD14" s="102">
        <f>_xlfn.XLOOKUP(CD$5, 'Project Eureka ROI'!$F$21:$AL$21, 'Project Eureka ROI'!$F$77:$AL$77, 0)</f>
        <v>7.9</v>
      </c>
      <c r="CE14" s="102">
        <f>_xlfn.XLOOKUP(CE$5, 'Project Eureka ROI'!$F$21:$AL$21, 'Project Eureka ROI'!$F$77:$AL$77, 0)</f>
        <v>7.9</v>
      </c>
      <c r="CF14" s="102">
        <f>_xlfn.XLOOKUP(CF$5, 'Project Eureka ROI'!$F$21:$AL$21, 'Project Eureka ROI'!$F$77:$AL$77, 0)</f>
        <v>7.9</v>
      </c>
      <c r="CG14" s="102">
        <f>_xlfn.XLOOKUP(CG$5, 'Project Eureka ROI'!$F$21:$AL$21, 'Project Eureka ROI'!$F$77:$AL$77, 0)</f>
        <v>7.9</v>
      </c>
      <c r="CH14" s="102">
        <f>_xlfn.XLOOKUP(CH$5, 'Project Eureka ROI'!$F$21:$AL$21, 'Project Eureka ROI'!$F$77:$AL$77, 0)</f>
        <v>7.9</v>
      </c>
      <c r="CI14" s="102">
        <f>_xlfn.XLOOKUP(CI$5, 'Project Eureka ROI'!$F$21:$AL$21, 'Project Eureka ROI'!$F$77:$AL$77, 0)</f>
        <v>7.9</v>
      </c>
      <c r="CJ14" s="102">
        <f>_xlfn.XLOOKUP(CJ$5, 'Project Eureka ROI'!$F$21:$AL$21, 'Project Eureka ROI'!$F$77:$AL$77, 0)</f>
        <v>7.9</v>
      </c>
      <c r="CK14" s="102">
        <f>_xlfn.XLOOKUP(CK$5, 'Project Eureka ROI'!$F$21:$AL$21, 'Project Eureka ROI'!$F$77:$AL$77, 0)</f>
        <v>7.9</v>
      </c>
      <c r="CL14" s="102">
        <f>_xlfn.XLOOKUP(CL$5, 'Project Eureka ROI'!$F$21:$AL$21, 'Project Eureka ROI'!$F$77:$AL$77, 0)</f>
        <v>7.9</v>
      </c>
      <c r="CN14" s="102">
        <f>_xlfn.XLOOKUP(CN$5, 'Project Eureka ROI'!$F$21:$AL$21, 'Project Eureka ROI'!$F$78:$AL$78, 0)</f>
        <v>0</v>
      </c>
      <c r="CO14" s="102">
        <f>_xlfn.XLOOKUP(CO$5, 'Project Eureka ROI'!$F$21:$AL$21, 'Project Eureka ROI'!$F$78:$AL$78, 0)</f>
        <v>0.41</v>
      </c>
      <c r="CP14" s="102">
        <f>_xlfn.XLOOKUP(CP$5, 'Project Eureka ROI'!$F$21:$AL$21, 'Project Eureka ROI'!$F$78:$AL$78, 0)</f>
        <v>0.41</v>
      </c>
      <c r="CQ14" s="102">
        <f>_xlfn.XLOOKUP(CQ$5, 'Project Eureka ROI'!$F$21:$AL$21, 'Project Eureka ROI'!$F$78:$AL$78, 0)</f>
        <v>0.41</v>
      </c>
      <c r="CR14" s="102">
        <f>_xlfn.XLOOKUP(CR$5, 'Project Eureka ROI'!$F$21:$AL$21, 'Project Eureka ROI'!$F$78:$AL$78, 0)</f>
        <v>0.41</v>
      </c>
      <c r="CS14" s="102">
        <f>_xlfn.XLOOKUP(CS$5, 'Project Eureka ROI'!$F$21:$AL$21, 'Project Eureka ROI'!$F$78:$AL$78, 0)</f>
        <v>0.41</v>
      </c>
      <c r="CT14" s="102">
        <f>_xlfn.XLOOKUP(CT$5, 'Project Eureka ROI'!$F$21:$AL$21, 'Project Eureka ROI'!$F$78:$AL$78, 0)</f>
        <v>0.41</v>
      </c>
      <c r="CU14" s="102">
        <f>_xlfn.XLOOKUP(CU$5, 'Project Eureka ROI'!$F$21:$AL$21, 'Project Eureka ROI'!$F$78:$AL$78, 0)</f>
        <v>0.41</v>
      </c>
      <c r="CV14" s="102">
        <f>_xlfn.XLOOKUP(CV$5, 'Project Eureka ROI'!$F$21:$AL$21, 'Project Eureka ROI'!$F$78:$AL$78, 0)</f>
        <v>0.41</v>
      </c>
      <c r="CW14" s="102">
        <f>_xlfn.XLOOKUP(CW$5, 'Project Eureka ROI'!$F$21:$AL$21, 'Project Eureka ROI'!$F$78:$AL$78, 0)</f>
        <v>0.41</v>
      </c>
    </row>
    <row r="15" spans="1:102">
      <c r="B15" s="101" t="s">
        <v>482</v>
      </c>
      <c r="C15" s="102"/>
      <c r="D15" s="102"/>
      <c r="E15" s="102">
        <f>_xlfn.XLOOKUP(E$5, 'Project Eureka ROI'!$F$21:$AL$21, 'Project Eureka ROI'!$F$11:$AL$11, 0 )</f>
        <v>0</v>
      </c>
      <c r="F15" s="102">
        <f>_xlfn.XLOOKUP(F$5, 'Project Eureka ROI'!$F$21:$AL$21, 'Project Eureka ROI'!$F$11:$AL$11, 0 )</f>
        <v>0</v>
      </c>
      <c r="G15" s="102">
        <f>_xlfn.XLOOKUP(G$5, 'Project Eureka ROI'!$F$21:$AL$21, 'Project Eureka ROI'!$F$11:$AL$11, 0 )</f>
        <v>0</v>
      </c>
      <c r="H15" s="102">
        <f>_xlfn.XLOOKUP(H$5, 'Project Eureka ROI'!$F$21:$AL$21, 'Project Eureka ROI'!$F$11:$AL$11, 0 )</f>
        <v>0</v>
      </c>
      <c r="I15" s="102">
        <f>_xlfn.XLOOKUP(I$5, 'Project Eureka ROI'!$F$21:$AL$21, 'Project Eureka ROI'!$F$11:$AL$11, 0 )</f>
        <v>0</v>
      </c>
      <c r="J15" s="102">
        <f>_xlfn.XLOOKUP(J$5, 'Project Eureka ROI'!$F$21:$AL$21, 'Project Eureka ROI'!$F$11:$AL$11, 0 )</f>
        <v>0</v>
      </c>
      <c r="K15" s="102">
        <f>_xlfn.XLOOKUP(K$5, 'Project Eureka ROI'!$F$21:$AL$21, 'Project Eureka ROI'!$F$11:$AL$11, 0 )</f>
        <v>0</v>
      </c>
      <c r="L15" s="102">
        <f>_xlfn.XLOOKUP(L$5, 'Project Eureka ROI'!$F$21:$AL$21, 'Project Eureka ROI'!$F$11:$AL$11, 0 )</f>
        <v>0</v>
      </c>
      <c r="M15" s="102">
        <f>_xlfn.XLOOKUP(M$5, 'Project Eureka ROI'!$F$21:$AL$21, 'Project Eureka ROI'!$F$11:$AL$11, 0 )</f>
        <v>0</v>
      </c>
      <c r="O15" s="102">
        <f>IF(O$13 = 0, 0, _xlfn.XLOOKUP(O$5, 'Project Eureka ROI'!$F$21:$AL$21, 'Project Eureka ROI'!$F$15:$AL$15, 0 ))</f>
        <v>0</v>
      </c>
      <c r="P15" s="102">
        <f>IF(P$13 = 0, 0, _xlfn.XLOOKUP(P$5, 'Project Eureka ROI'!$F$21:$AL$21, 'Project Eureka ROI'!$F$15:$AL$15, 0 ))</f>
        <v>0</v>
      </c>
      <c r="Q15" s="102">
        <f>IF(Q$13 = 0, 0, _xlfn.XLOOKUP(Q$5, 'Project Eureka ROI'!$F$21:$AL$21, 'Project Eureka ROI'!$F$15:$AL$15, 0 ))</f>
        <v>0</v>
      </c>
      <c r="R15" s="102">
        <f>IF(R$13 = 0, 0, _xlfn.XLOOKUP(R$5, 'Project Eureka ROI'!$F$21:$AL$21, 'Project Eureka ROI'!$F$15:$AL$15, 0 ))</f>
        <v>0</v>
      </c>
      <c r="S15" s="102">
        <f>IF(S$13 = 0, 0, _xlfn.XLOOKUP(S$5, 'Project Eureka ROI'!$F$21:$AL$21, 'Project Eureka ROI'!$F$15:$AL$15, 0 ))</f>
        <v>6.3472179408190028</v>
      </c>
      <c r="T15" s="102">
        <f>IF(T$13 = 0, 0, _xlfn.XLOOKUP(T$5, 'Project Eureka ROI'!$F$21:$AL$21, 'Project Eureka ROI'!$F$15:$AL$15, 0 ))</f>
        <v>6.1378199307518679</v>
      </c>
      <c r="U15" s="102">
        <f>IF(U$13 = 0, 0, _xlfn.XLOOKUP(U$5, 'Project Eureka ROI'!$F$21:$AL$21, 'Project Eureka ROI'!$F$15:$AL$15, 0 ))</f>
        <v>6.0505132508436823</v>
      </c>
      <c r="V15" s="102">
        <f>IF(V$13 = 0, 0, _xlfn.XLOOKUP(V$5, 'Project Eureka ROI'!$F$21:$AL$21, 'Project Eureka ROI'!$F$15:$AL$15, 0 ))</f>
        <v>5.9619189486877646</v>
      </c>
      <c r="W15" s="102">
        <f>IF(W$13 = 0, 0, _xlfn.XLOOKUP(W$5, 'Project Eureka ROI'!$F$21:$AL$21, 'Project Eureka ROI'!$F$15:$AL$15, 0 ))</f>
        <v>5.8720186763826199</v>
      </c>
      <c r="X15" s="102">
        <f>IF(X$13 = 0, 0, _xlfn.XLOOKUP(X$5, 'Project Eureka ROI'!$F$21:$AL$21, 'Project Eureka ROI'!$F$15:$AL$15, 0 ))</f>
        <v>5.7807938427676726</v>
      </c>
      <c r="Z15" s="102">
        <f>_xlfn.XLOOKUP(Z$5, 'Project Eureka ROI'!$F$21:$AL$21, 'Project Eureka ROI'!$F$94:$AL$94, 0 )</f>
        <v>0</v>
      </c>
      <c r="AA15" s="102">
        <f>_xlfn.XLOOKUP(AA$5, 'Project Eureka ROI'!$F$21:$AL$21, 'Project Eureka ROI'!$F$94:$AL$94, 0 )</f>
        <v>0</v>
      </c>
      <c r="AB15" s="102">
        <f>_xlfn.XLOOKUP(AB$5, 'Project Eureka ROI'!$F$21:$AL$21, 'Project Eureka ROI'!$F$94:$AL$94, 0 )</f>
        <v>0</v>
      </c>
      <c r="AC15" s="102">
        <f>_xlfn.XLOOKUP(AC$5, 'Project Eureka ROI'!$F$21:$AL$21, 'Project Eureka ROI'!$F$94:$AL$94, 0 )</f>
        <v>0</v>
      </c>
      <c r="AD15" s="102">
        <f>_xlfn.XLOOKUP(AD$5, 'Project Eureka ROI'!$F$21:$AL$21, 'Project Eureka ROI'!$F$94:$AL$94, 0 )</f>
        <v>0.312</v>
      </c>
      <c r="AE15" s="102">
        <f>_xlfn.XLOOKUP(AE$5, 'Project Eureka ROI'!$F$21:$AL$21, 'Project Eureka ROI'!$F$94:$AL$94, 0 )</f>
        <v>0.26400000000000001</v>
      </c>
      <c r="AF15" s="102">
        <f>_xlfn.XLOOKUP(AF$5, 'Project Eureka ROI'!$F$21:$AL$21, 'Project Eureka ROI'!$F$94:$AL$94, 0 )</f>
        <v>0.26400000000000001</v>
      </c>
      <c r="AG15" s="102">
        <f>_xlfn.XLOOKUP(AG$5, 'Project Eureka ROI'!$F$21:$AL$21, 'Project Eureka ROI'!$F$94:$AL$94, 0 )</f>
        <v>0.26400000000000001</v>
      </c>
      <c r="AH15" s="102">
        <f>_xlfn.XLOOKUP(AH$5, 'Project Eureka ROI'!$F$21:$AL$21, 'Project Eureka ROI'!$F$94:$AL$94, 0 )</f>
        <v>0.26400000000000001</v>
      </c>
      <c r="AI15" s="102">
        <f>_xlfn.XLOOKUP(AI$5, 'Project Eureka ROI'!$F$21:$AL$21, 'Project Eureka ROI'!$F$94:$AL$94, 0 )</f>
        <v>0.26400000000000001</v>
      </c>
      <c r="AK15" s="102"/>
      <c r="AL15" s="102"/>
      <c r="AM15" s="102"/>
      <c r="AN15" s="102"/>
      <c r="AO15" s="102"/>
      <c r="AP15" s="102"/>
      <c r="AQ15" s="102"/>
      <c r="AR15" s="102"/>
      <c r="AS15" s="102"/>
      <c r="AT15" s="102"/>
      <c r="AV15" s="102"/>
      <c r="AW15" s="102"/>
      <c r="AX15" s="102"/>
      <c r="AY15" s="102"/>
      <c r="AZ15" s="102"/>
      <c r="BA15" s="102"/>
      <c r="BB15" s="102"/>
      <c r="BC15" s="102"/>
      <c r="BD15" s="102"/>
      <c r="BE15" s="102"/>
      <c r="BG15" s="102">
        <f>_xlfn.XLOOKUP(BG$5, 'Project Eureka ROI'!$F$21:$AL$21, 'Project Eureka ROI'!$F$95:$AL$95, 0)</f>
        <v>0</v>
      </c>
      <c r="BH15" s="102">
        <f>_xlfn.XLOOKUP(BH$5, 'Project Eureka ROI'!$F$21:$AL$21, 'Project Eureka ROI'!$F$95:$AL$95, 0)</f>
        <v>29.85</v>
      </c>
      <c r="BI15" s="102">
        <f>_xlfn.XLOOKUP(BI$5, 'Project Eureka ROI'!$F$21:$AL$21, 'Project Eureka ROI'!$F$95:$AL$95, 0)</f>
        <v>29.85</v>
      </c>
      <c r="BJ15" s="102">
        <f>_xlfn.XLOOKUP(BJ$5, 'Project Eureka ROI'!$F$21:$AL$21, 'Project Eureka ROI'!$F$95:$AL$95, 0)</f>
        <v>29.85</v>
      </c>
      <c r="BK15" s="102">
        <f>_xlfn.XLOOKUP(BK$5, 'Project Eureka ROI'!$F$21:$AL$21, 'Project Eureka ROI'!$F$95:$AL$95, 0)</f>
        <v>29.85</v>
      </c>
      <c r="BL15" s="102">
        <f>_xlfn.XLOOKUP(BL$5, 'Project Eureka ROI'!$F$21:$AL$21, 'Project Eureka ROI'!$F$95:$AL$95, 0)</f>
        <v>29.85</v>
      </c>
      <c r="BM15" s="102">
        <f>_xlfn.XLOOKUP(BM$5, 'Project Eureka ROI'!$F$21:$AL$21, 'Project Eureka ROI'!$F$95:$AL$95, 0)</f>
        <v>29.85</v>
      </c>
      <c r="BN15" s="102">
        <f>_xlfn.XLOOKUP(BN$5, 'Project Eureka ROI'!$F$21:$AL$21, 'Project Eureka ROI'!$F$95:$AL$95, 0)</f>
        <v>29.85</v>
      </c>
      <c r="BO15" s="102">
        <f>_xlfn.XLOOKUP(BO$5, 'Project Eureka ROI'!$F$21:$AL$21, 'Project Eureka ROI'!$F$95:$AL$95, 0)</f>
        <v>29.85</v>
      </c>
      <c r="BP15" s="102">
        <f>_xlfn.XLOOKUP(BP$5, 'Project Eureka ROI'!$F$21:$AL$21, 'Project Eureka ROI'!$F$95:$AL$95, 0)</f>
        <v>29.85</v>
      </c>
      <c r="BR15" s="102">
        <f>_xlfn.XLOOKUP(BR$5, 'Project Eureka ROI'!$F$21:$AL$21, 'Project Eureka ROI'!$F$96:$AL$96, 0)</f>
        <v>0</v>
      </c>
      <c r="BS15" s="102">
        <f>_xlfn.XLOOKUP(BS$5, 'Project Eureka ROI'!$F$21:$AL$21, 'Project Eureka ROI'!$F$96:$AL$96, 0)</f>
        <v>15.85</v>
      </c>
      <c r="BT15" s="102">
        <f>_xlfn.XLOOKUP(BT$5, 'Project Eureka ROI'!$F$21:$AL$21, 'Project Eureka ROI'!$F$96:$AL$96, 0)</f>
        <v>15.85</v>
      </c>
      <c r="BU15" s="102">
        <f>_xlfn.XLOOKUP(BU$5, 'Project Eureka ROI'!$F$21:$AL$21, 'Project Eureka ROI'!$F$96:$AL$96, 0)</f>
        <v>15.85</v>
      </c>
      <c r="BV15" s="102">
        <f>_xlfn.XLOOKUP(BV$5, 'Project Eureka ROI'!$F$21:$AL$21, 'Project Eureka ROI'!$F$96:$AL$96, 0)</f>
        <v>15.85</v>
      </c>
      <c r="BW15" s="102">
        <f>_xlfn.XLOOKUP(BW$5, 'Project Eureka ROI'!$F$21:$AL$21, 'Project Eureka ROI'!$F$96:$AL$96, 0)</f>
        <v>15.85</v>
      </c>
      <c r="BX15" s="102">
        <f>_xlfn.XLOOKUP(BX$5, 'Project Eureka ROI'!$F$21:$AL$21, 'Project Eureka ROI'!$F$96:$AL$96, 0)</f>
        <v>15.85</v>
      </c>
      <c r="BY15" s="102">
        <f>_xlfn.XLOOKUP(BY$5, 'Project Eureka ROI'!$F$21:$AL$21, 'Project Eureka ROI'!$F$96:$AL$96, 0)</f>
        <v>15.85</v>
      </c>
      <c r="BZ15" s="102">
        <f>_xlfn.XLOOKUP(BZ$5, 'Project Eureka ROI'!$F$21:$AL$21, 'Project Eureka ROI'!$F$96:$AL$96, 0)</f>
        <v>15.85</v>
      </c>
      <c r="CA15" s="102">
        <f>_xlfn.XLOOKUP(CA$5, 'Project Eureka ROI'!$F$21:$AL$21, 'Project Eureka ROI'!$F$96:$AL$96, 0)</f>
        <v>15.85</v>
      </c>
      <c r="CC15" s="102">
        <f>_xlfn.XLOOKUP(CC$5, 'Project Eureka ROI'!$F$21:$AL$21, 'Project Eureka ROI'!$F$97:$AL$97, 0)</f>
        <v>0</v>
      </c>
      <c r="CD15" s="102">
        <f>_xlfn.XLOOKUP(CD$5, 'Project Eureka ROI'!$F$21:$AL$21, 'Project Eureka ROI'!$F$97:$AL$97, 0)</f>
        <v>5.14</v>
      </c>
      <c r="CE15" s="102">
        <f>_xlfn.XLOOKUP(CE$5, 'Project Eureka ROI'!$F$21:$AL$21, 'Project Eureka ROI'!$F$97:$AL$97, 0)</f>
        <v>5.14</v>
      </c>
      <c r="CF15" s="102">
        <f>_xlfn.XLOOKUP(CF$5, 'Project Eureka ROI'!$F$21:$AL$21, 'Project Eureka ROI'!$F$97:$AL$97, 0)</f>
        <v>5.14</v>
      </c>
      <c r="CG15" s="102">
        <f>_xlfn.XLOOKUP(CG$5, 'Project Eureka ROI'!$F$21:$AL$21, 'Project Eureka ROI'!$F$97:$AL$97, 0)</f>
        <v>5.14</v>
      </c>
      <c r="CH15" s="102">
        <f>_xlfn.XLOOKUP(CH$5, 'Project Eureka ROI'!$F$21:$AL$21, 'Project Eureka ROI'!$F$97:$AL$97, 0)</f>
        <v>5.14</v>
      </c>
      <c r="CI15" s="102">
        <f>_xlfn.XLOOKUP(CI$5, 'Project Eureka ROI'!$F$21:$AL$21, 'Project Eureka ROI'!$F$97:$AL$97, 0)</f>
        <v>5.14</v>
      </c>
      <c r="CJ15" s="102">
        <f>_xlfn.XLOOKUP(CJ$5, 'Project Eureka ROI'!$F$21:$AL$21, 'Project Eureka ROI'!$F$97:$AL$97, 0)</f>
        <v>5.14</v>
      </c>
      <c r="CK15" s="102">
        <f>_xlfn.XLOOKUP(CK$5, 'Project Eureka ROI'!$F$21:$AL$21, 'Project Eureka ROI'!$F$97:$AL$97, 0)</f>
        <v>5.14</v>
      </c>
      <c r="CL15" s="102">
        <f>_xlfn.XLOOKUP(CL$5, 'Project Eureka ROI'!$F$21:$AL$21, 'Project Eureka ROI'!$F$97:$AL$97, 0)</f>
        <v>5.14</v>
      </c>
      <c r="CN15" s="102">
        <f>_xlfn.XLOOKUP(CN$5, 'Project Eureka ROI'!$F$21:$AL$21, 'Project Eureka ROI'!$F$98:$AL$98, 0)</f>
        <v>0</v>
      </c>
      <c r="CO15" s="102">
        <f>_xlfn.XLOOKUP(CO$5, 'Project Eureka ROI'!$F$21:$AL$21, 'Project Eureka ROI'!$F$98:$AL$98, 0)</f>
        <v>0.27</v>
      </c>
      <c r="CP15" s="102">
        <f>_xlfn.XLOOKUP(CP$5, 'Project Eureka ROI'!$F$21:$AL$21, 'Project Eureka ROI'!$F$98:$AL$98, 0)</f>
        <v>0.27</v>
      </c>
      <c r="CQ15" s="102">
        <f>_xlfn.XLOOKUP(CQ$5, 'Project Eureka ROI'!$F$21:$AL$21, 'Project Eureka ROI'!$F$98:$AL$98, 0)</f>
        <v>0.27</v>
      </c>
      <c r="CR15" s="102">
        <f>_xlfn.XLOOKUP(CR$5, 'Project Eureka ROI'!$F$21:$AL$21, 'Project Eureka ROI'!$F$98:$AL$98, 0)</f>
        <v>0.27</v>
      </c>
      <c r="CS15" s="102">
        <f>_xlfn.XLOOKUP(CS$5, 'Project Eureka ROI'!$F$21:$AL$21, 'Project Eureka ROI'!$F$98:$AL$98, 0)</f>
        <v>0.27</v>
      </c>
      <c r="CT15" s="102">
        <f>_xlfn.XLOOKUP(CT$5, 'Project Eureka ROI'!$F$21:$AL$21, 'Project Eureka ROI'!$F$98:$AL$98, 0)</f>
        <v>0.27</v>
      </c>
      <c r="CU15" s="102">
        <f>_xlfn.XLOOKUP(CU$5, 'Project Eureka ROI'!$F$21:$AL$21, 'Project Eureka ROI'!$F$98:$AL$98, 0)</f>
        <v>0.27</v>
      </c>
      <c r="CV15" s="102">
        <f>_xlfn.XLOOKUP(CV$5, 'Project Eureka ROI'!$F$21:$AL$21, 'Project Eureka ROI'!$F$98:$AL$98, 0)</f>
        <v>0.27</v>
      </c>
      <c r="CW15" s="102">
        <f>_xlfn.XLOOKUP(CW$5, 'Project Eureka ROI'!$F$21:$AL$21, 'Project Eureka ROI'!$F$98:$AL$98, 0)</f>
        <v>0.27</v>
      </c>
    </row>
    <row r="16" spans="1:102" ht="3.75" customHeight="1">
      <c r="B16" s="103"/>
      <c r="C16" s="14"/>
      <c r="D16" s="14"/>
      <c r="E16" s="14"/>
      <c r="F16" s="14"/>
      <c r="G16" s="14"/>
      <c r="H16" s="14"/>
      <c r="I16" s="14"/>
      <c r="J16" s="14"/>
      <c r="K16" s="14"/>
      <c r="L16" s="14"/>
      <c r="M16" s="14"/>
      <c r="O16" s="14"/>
      <c r="P16" s="14"/>
      <c r="Q16" s="14"/>
      <c r="R16" s="14"/>
      <c r="S16" s="14"/>
      <c r="T16" s="14"/>
      <c r="U16" s="14"/>
      <c r="V16" s="14"/>
      <c r="W16" s="14"/>
      <c r="X16" s="14"/>
      <c r="Z16" s="14"/>
      <c r="AA16" s="14"/>
      <c r="AB16" s="14"/>
      <c r="AC16" s="14"/>
      <c r="AD16" s="14"/>
      <c r="AE16" s="14"/>
      <c r="AF16" s="14"/>
      <c r="AG16" s="14"/>
      <c r="AH16" s="14"/>
      <c r="AI16" s="14"/>
      <c r="AK16" s="14"/>
      <c r="AL16" s="14"/>
      <c r="AM16" s="14"/>
      <c r="AN16" s="14"/>
      <c r="AO16" s="14"/>
      <c r="AP16" s="14"/>
      <c r="AQ16" s="14"/>
      <c r="AR16" s="14"/>
      <c r="AS16" s="14"/>
      <c r="AT16" s="14"/>
      <c r="AV16" s="14"/>
      <c r="AW16" s="14"/>
      <c r="AX16" s="14"/>
      <c r="AY16" s="14"/>
      <c r="AZ16" s="14"/>
      <c r="BA16" s="14"/>
      <c r="BB16" s="14"/>
      <c r="BC16" s="14"/>
      <c r="BD16" s="14"/>
      <c r="BE16" s="14"/>
      <c r="BG16" s="14"/>
      <c r="BH16" s="14"/>
      <c r="BI16" s="14"/>
      <c r="BJ16" s="14"/>
      <c r="BK16" s="14"/>
      <c r="BL16" s="14"/>
      <c r="BM16" s="14"/>
      <c r="BN16" s="14"/>
      <c r="BO16" s="14"/>
      <c r="BP16" s="14"/>
      <c r="BR16" s="14"/>
      <c r="BS16" s="14"/>
      <c r="BT16" s="14"/>
      <c r="BU16" s="14"/>
      <c r="BV16" s="14"/>
      <c r="BW16" s="14"/>
      <c r="BX16" s="14"/>
      <c r="BY16" s="14"/>
      <c r="BZ16" s="14"/>
      <c r="CA16" s="14"/>
      <c r="CC16" s="14"/>
      <c r="CD16" s="14"/>
      <c r="CE16" s="14"/>
      <c r="CF16" s="14"/>
      <c r="CG16" s="14"/>
      <c r="CH16" s="14"/>
      <c r="CI16" s="14"/>
      <c r="CJ16" s="14"/>
      <c r="CK16" s="14"/>
      <c r="CL16" s="14"/>
      <c r="CN16" s="14"/>
      <c r="CO16" s="14"/>
      <c r="CP16" s="14"/>
      <c r="CQ16" s="14"/>
      <c r="CR16" s="14"/>
      <c r="CS16" s="14"/>
      <c r="CT16" s="14"/>
      <c r="CU16" s="14"/>
      <c r="CV16" s="14"/>
      <c r="CW16" s="14"/>
    </row>
    <row r="17" spans="2:102" s="100" customFormat="1">
      <c r="B17" s="104" t="str">
        <f>"Playground  @ "&amp;TEXT(Pct_JV,"0%")&amp;" PD Ownsership"</f>
        <v>Playground  @ 50% PD Ownsership</v>
      </c>
      <c r="C17" s="105"/>
      <c r="D17" s="105">
        <f>_xlfn.XLOOKUP(D$5, 'Project Playground ROI'!$F$29:$AL$29, 'Project Playground ROI'!$F$48:$AL$48, 0)*Pct_JV*2</f>
        <v>0</v>
      </c>
      <c r="E17" s="105">
        <f>_xlfn.XLOOKUP(E$5, 'Project Playground ROI'!$F$29:$AL$29, 'Project Playground ROI'!$F$48:$AL$48, 0)*Pct_JV*2</f>
        <v>0</v>
      </c>
      <c r="F17" s="105">
        <f>_xlfn.XLOOKUP(F$5, 'Project Playground ROI'!$F$29:$AL$29, 'Project Playground ROI'!$F$48:$AL$48, 0)*Pct_JV*2</f>
        <v>0</v>
      </c>
      <c r="G17" s="105">
        <f>_xlfn.XLOOKUP(G$5, 'Project Playground ROI'!$F$29:$AL$29, 'Project Playground ROI'!$F$48:$AL$48, 0)*Pct_JV*2</f>
        <v>0</v>
      </c>
      <c r="H17" s="105">
        <f>_xlfn.XLOOKUP(H$5, 'Project Playground ROI'!$F$29:$AL$29, 'Project Playground ROI'!$F$48:$AL$48, 0)*Pct_JV*2</f>
        <v>671.80959999999993</v>
      </c>
      <c r="I17" s="105">
        <f>_xlfn.XLOOKUP(I$5, 'Project Playground ROI'!$F$29:$AL$29, 'Project Playground ROI'!$F$48:$AL$48, 0)*Pct_JV*2</f>
        <v>1919.4559999999999</v>
      </c>
      <c r="J17" s="105">
        <f>_xlfn.XLOOKUP(J$5, 'Project Playground ROI'!$F$29:$AL$29, 'Project Playground ROI'!$F$48:$AL$48, 0)*Pct_JV*2</f>
        <v>1919.4559999999999</v>
      </c>
      <c r="K17" s="105">
        <f>_xlfn.XLOOKUP(K$5, 'Project Playground ROI'!$F$29:$AL$29, 'Project Playground ROI'!$F$48:$AL$48, 0)*Pct_JV*2</f>
        <v>1919.4559999999999</v>
      </c>
      <c r="L17" s="105">
        <f>_xlfn.XLOOKUP(L$5, 'Project Playground ROI'!$F$29:$AL$29, 'Project Playground ROI'!$F$48:$AL$48, 0)*Pct_JV*2</f>
        <v>1919.4559999999999</v>
      </c>
      <c r="M17" s="105">
        <f>_xlfn.XLOOKUP(M$5, 'Project Playground ROI'!$F$29:$AL$29, 'Project Playground ROI'!$F$48:$AL$48, 0)*Pct_JV*2</f>
        <v>1919.4559999999999</v>
      </c>
      <c r="O17" s="105">
        <f>_xlfn.XLOOKUP(O$5, 'Project Playground ROI'!$F$29:$AL$29, 'Project Playground ROI'!$F$49:$AL$49, 0)*Pct_JV*2</f>
        <v>0</v>
      </c>
      <c r="P17" s="105">
        <f>_xlfn.XLOOKUP(P$5, 'Project Playground ROI'!$F$29:$AL$29, 'Project Playground ROI'!$F$49:$AL$49, 0)*Pct_JV*2</f>
        <v>0</v>
      </c>
      <c r="Q17" s="105">
        <f>_xlfn.XLOOKUP(Q$5, 'Project Playground ROI'!$F$29:$AL$29, 'Project Playground ROI'!$F$49:$AL$49, 0)*Pct_JV*2</f>
        <v>0</v>
      </c>
      <c r="R17" s="105">
        <f>_xlfn.XLOOKUP(R$5, 'Project Playground ROI'!$F$29:$AL$29, 'Project Playground ROI'!$F$49:$AL$49, 0)*Pct_JV*2</f>
        <v>0</v>
      </c>
      <c r="S17" s="105">
        <f>_xlfn.XLOOKUP(S$5, 'Project Playground ROI'!$F$29:$AL$29, 'Project Playground ROI'!$F$49:$AL$49, 0)*Pct_JV*2</f>
        <v>2015.4287999999997</v>
      </c>
      <c r="T17" s="105">
        <f>_xlfn.XLOOKUP(T$5, 'Project Playground ROI'!$F$29:$AL$29, 'Project Playground ROI'!$F$49:$AL$49, 0)*Pct_JV*2</f>
        <v>5758.3679999999995</v>
      </c>
      <c r="U17" s="105">
        <f>_xlfn.XLOOKUP(U$5, 'Project Playground ROI'!$F$29:$AL$29, 'Project Playground ROI'!$F$49:$AL$49, 0)*Pct_JV*2</f>
        <v>5758.3679999999995</v>
      </c>
      <c r="V17" s="105">
        <f>_xlfn.XLOOKUP(V$5, 'Project Playground ROI'!$F$29:$AL$29, 'Project Playground ROI'!$F$49:$AL$49, 0)*Pct_JV*2</f>
        <v>5758.3679999999995</v>
      </c>
      <c r="W17" s="105">
        <f>_xlfn.XLOOKUP(W$5, 'Project Playground ROI'!$F$29:$AL$29, 'Project Playground ROI'!$F$49:$AL$49, 0)*Pct_JV*2</f>
        <v>5758.3679999999995</v>
      </c>
      <c r="X17" s="105">
        <f>_xlfn.XLOOKUP(X$5, 'Project Playground ROI'!$F$29:$AL$29, 'Project Playground ROI'!$F$49:$AL$49, 0)*Pct_JV*2</f>
        <v>5758.3679999999995</v>
      </c>
      <c r="Z17" s="105">
        <f>_xlfn.XLOOKUP(Z$5, 'Project Playground ROI'!$F$29:$AL$29, 'Project Playground ROI'!$F$50:$AL$50, 0)*Pct_JV*2</f>
        <v>0</v>
      </c>
      <c r="AA17" s="105">
        <f>_xlfn.XLOOKUP(AA$5, 'Project Playground ROI'!$F$29:$AL$29, 'Project Playground ROI'!$F$50:$AL$50, 0)*Pct_JV*2</f>
        <v>0</v>
      </c>
      <c r="AB17" s="105">
        <f>_xlfn.XLOOKUP(AB$5, 'Project Playground ROI'!$F$29:$AL$29, 'Project Playground ROI'!$F$50:$AL$50, 0)*Pct_JV*2</f>
        <v>0</v>
      </c>
      <c r="AC17" s="105">
        <f>_xlfn.XLOOKUP(AC$5, 'Project Playground ROI'!$F$29:$AL$29, 'Project Playground ROI'!$F$50:$AL$50, 0)*Pct_JV*2</f>
        <v>0</v>
      </c>
      <c r="AD17" s="105">
        <f>_xlfn.XLOOKUP(AD$5, 'Project Playground ROI'!$F$29:$AL$29, 'Project Playground ROI'!$F$50:$AL$50, 0)*Pct_JV*2</f>
        <v>4568.3052799999996</v>
      </c>
      <c r="AE17" s="105">
        <f>_xlfn.XLOOKUP(AE$5, 'Project Playground ROI'!$F$29:$AL$29, 'Project Playground ROI'!$F$50:$AL$50, 0)*Pct_JV*2</f>
        <v>13052.300799999999</v>
      </c>
      <c r="AF17" s="105">
        <f>_xlfn.XLOOKUP(AF$5, 'Project Playground ROI'!$F$29:$AL$29, 'Project Playground ROI'!$F$50:$AL$50, 0)*Pct_JV*2</f>
        <v>13052.300799999999</v>
      </c>
      <c r="AG17" s="105">
        <f>_xlfn.XLOOKUP(AG$5, 'Project Playground ROI'!$F$29:$AL$29, 'Project Playground ROI'!$F$50:$AL$50, 0)*Pct_JV*2</f>
        <v>13052.300799999999</v>
      </c>
      <c r="AH17" s="105">
        <f>_xlfn.XLOOKUP(AH$5, 'Project Playground ROI'!$F$29:$AL$29, 'Project Playground ROI'!$F$50:$AL$50, 0)*Pct_JV*2</f>
        <v>13052.300799999999</v>
      </c>
      <c r="AI17" s="105">
        <f>_xlfn.XLOOKUP(AI$5, 'Project Playground ROI'!$F$29:$AL$29, 'Project Playground ROI'!$F$50:$AL$50, 0)*Pct_JV*2</f>
        <v>13052.300799999999</v>
      </c>
      <c r="AK17" s="105">
        <f>_xlfn.XLOOKUP(AK$5, 'Project Playground ROI'!$F$29:$AL$29, 'Project Playground ROI'!$F$51:$AL$51, 0)*Pct_JV*2</f>
        <v>0</v>
      </c>
      <c r="AL17" s="105">
        <f>_xlfn.XLOOKUP(AL$5, 'Project Playground ROI'!$F$29:$AL$29, 'Project Playground ROI'!$F$51:$AL$51, 0)*Pct_JV*2</f>
        <v>0</v>
      </c>
      <c r="AM17" s="105">
        <f>_xlfn.XLOOKUP(AM$5, 'Project Playground ROI'!$F$29:$AL$29, 'Project Playground ROI'!$F$51:$AL$51, 0)*Pct_JV*2</f>
        <v>0</v>
      </c>
      <c r="AN17" s="105">
        <f>_xlfn.XLOOKUP(AN$5, 'Project Playground ROI'!$F$29:$AL$29, 'Project Playground ROI'!$F$51:$AL$51, 0)*Pct_JV*2</f>
        <v>0</v>
      </c>
      <c r="AO17" s="105">
        <f>_xlfn.XLOOKUP(AO$5, 'Project Playground ROI'!$F$29:$AL$29, 'Project Playground ROI'!$F$51:$AL$51, 0)*Pct_JV*2</f>
        <v>0</v>
      </c>
      <c r="AP17" s="105">
        <f>_xlfn.XLOOKUP(AP$5, 'Project Playground ROI'!$F$29:$AL$29, 'Project Playground ROI'!$F$51:$AL$51, 0)*Pct_JV*2</f>
        <v>10</v>
      </c>
      <c r="AQ17" s="105">
        <f>_xlfn.XLOOKUP(AQ$5, 'Project Playground ROI'!$F$29:$AL$29, 'Project Playground ROI'!$F$51:$AL$51, 0)*Pct_JV*2</f>
        <v>15</v>
      </c>
      <c r="AR17" s="105">
        <f>_xlfn.XLOOKUP(AR$5, 'Project Playground ROI'!$F$29:$AL$29, 'Project Playground ROI'!$F$51:$AL$51, 0)*Pct_JV*2</f>
        <v>22.5</v>
      </c>
      <c r="AS17" s="105">
        <f>_xlfn.XLOOKUP(AS$5, 'Project Playground ROI'!$F$29:$AL$29, 'Project Playground ROI'!$F$51:$AL$51, 0)*Pct_JV*2</f>
        <v>33.75</v>
      </c>
      <c r="AT17" s="105">
        <f>_xlfn.XLOOKUP(AT$5, 'Project Playground ROI'!$F$29:$AL$29, 'Project Playground ROI'!$F$51:$AL$51, 0)*Pct_JV*2</f>
        <v>37.125</v>
      </c>
      <c r="AV17" s="105">
        <f>_xlfn.XLOOKUP(AV$5, 'Project Playground ROI'!$F$29:$AL$29, 'Project Playground ROI'!$F$52:$AL$52, 0)*Pct_JV*2</f>
        <v>0</v>
      </c>
      <c r="AW17" s="105">
        <f>_xlfn.XLOOKUP(AW$5, 'Project Playground ROI'!$F$29:$AL$29, 'Project Playground ROI'!$F$52:$AL$52, 0)*Pct_JV*2</f>
        <v>0</v>
      </c>
      <c r="AX17" s="105">
        <f>_xlfn.XLOOKUP(AX$5, 'Project Playground ROI'!$F$29:$AL$29, 'Project Playground ROI'!$F$52:$AL$52, 0)*Pct_JV*2</f>
        <v>0</v>
      </c>
      <c r="AY17" s="105">
        <f>_xlfn.XLOOKUP(AY$5, 'Project Playground ROI'!$F$29:$AL$29, 'Project Playground ROI'!$F$52:$AL$52, 0)*Pct_JV*2</f>
        <v>0</v>
      </c>
      <c r="AZ17" s="105">
        <f>_xlfn.XLOOKUP(AZ$5, 'Project Playground ROI'!$F$29:$AL$29, 'Project Playground ROI'!$F$52:$AL$52, 0)*Pct_JV*2</f>
        <v>0</v>
      </c>
      <c r="BA17" s="105">
        <f>_xlfn.XLOOKUP(BA$5, 'Project Playground ROI'!$F$29:$AL$29, 'Project Playground ROI'!$F$52:$AL$52, 0)*Pct_JV*2</f>
        <v>0</v>
      </c>
      <c r="BB17" s="105">
        <f>_xlfn.XLOOKUP(BB$5, 'Project Playground ROI'!$F$29:$AL$29, 'Project Playground ROI'!$F$52:$AL$52, 0)*Pct_JV*2</f>
        <v>400</v>
      </c>
      <c r="BC17" s="105">
        <f>_xlfn.XLOOKUP(BC$5, 'Project Playground ROI'!$F$29:$AL$29, 'Project Playground ROI'!$F$52:$AL$52, 0)*Pct_JV*2</f>
        <v>750</v>
      </c>
      <c r="BD17" s="105">
        <f>_xlfn.XLOOKUP(BD$5, 'Project Playground ROI'!$F$29:$AL$29, 'Project Playground ROI'!$F$52:$AL$52, 0)*Pct_JV*2</f>
        <v>1000</v>
      </c>
      <c r="BE17" s="105">
        <f>_xlfn.XLOOKUP(BE$5, 'Project Playground ROI'!$F$29:$AL$29, 'Project Playground ROI'!$F$52:$AL$52, 0)*Pct_JV*2</f>
        <v>1050</v>
      </c>
      <c r="BG17" s="105"/>
      <c r="BH17" s="105"/>
      <c r="BI17" s="105"/>
      <c r="BJ17" s="105"/>
      <c r="BK17" s="105"/>
      <c r="BL17" s="105"/>
      <c r="BM17" s="105"/>
      <c r="BN17" s="105"/>
      <c r="BO17" s="105"/>
      <c r="BP17" s="105"/>
      <c r="BR17" s="105"/>
      <c r="BS17" s="105"/>
      <c r="BT17" s="105"/>
      <c r="BU17" s="105"/>
      <c r="BV17" s="105"/>
      <c r="BW17" s="105"/>
      <c r="BX17" s="105"/>
      <c r="BY17" s="105"/>
      <c r="BZ17" s="105"/>
      <c r="CA17" s="105"/>
      <c r="CC17" s="105"/>
      <c r="CD17" s="105"/>
      <c r="CE17" s="105"/>
      <c r="CF17" s="105"/>
      <c r="CG17" s="105"/>
      <c r="CH17" s="105"/>
      <c r="CI17" s="105"/>
      <c r="CJ17" s="105"/>
      <c r="CK17" s="105"/>
      <c r="CL17" s="105"/>
      <c r="CN17" s="105"/>
      <c r="CO17" s="105"/>
      <c r="CP17" s="105"/>
      <c r="CQ17" s="105"/>
      <c r="CR17" s="105"/>
      <c r="CS17" s="105"/>
      <c r="CT17" s="105"/>
      <c r="CU17" s="105"/>
      <c r="CV17" s="105"/>
      <c r="CW17" s="105"/>
      <c r="CX17" s="8"/>
    </row>
    <row r="18" spans="2:102">
      <c r="B18" s="101" t="s">
        <v>521</v>
      </c>
      <c r="C18" s="102"/>
      <c r="D18" s="102">
        <f>D$10</f>
        <v>0</v>
      </c>
      <c r="E18" s="102">
        <f t="shared" ref="E18:M18" si="23">E$10</f>
        <v>0</v>
      </c>
      <c r="F18" s="102">
        <f t="shared" si="23"/>
        <v>0</v>
      </c>
      <c r="G18" s="102">
        <f t="shared" si="23"/>
        <v>17.05</v>
      </c>
      <c r="H18" s="102">
        <f t="shared" si="23"/>
        <v>15.400000000000002</v>
      </c>
      <c r="I18" s="102">
        <f t="shared" si="23"/>
        <v>15.400000000000002</v>
      </c>
      <c r="J18" s="102">
        <f t="shared" si="23"/>
        <v>14.3</v>
      </c>
      <c r="K18" s="102">
        <f t="shared" si="23"/>
        <v>14.3</v>
      </c>
      <c r="L18" s="102">
        <f t="shared" si="23"/>
        <v>14.3</v>
      </c>
      <c r="M18" s="102">
        <f t="shared" si="23"/>
        <v>14.3</v>
      </c>
      <c r="O18" s="102">
        <f t="shared" ref="O18:X18" si="24">O$10</f>
        <v>0</v>
      </c>
      <c r="P18" s="102">
        <f t="shared" si="24"/>
        <v>0</v>
      </c>
      <c r="Q18" s="102">
        <f t="shared" si="24"/>
        <v>0</v>
      </c>
      <c r="R18" s="102">
        <f t="shared" si="24"/>
        <v>15.5</v>
      </c>
      <c r="S18" s="102">
        <f t="shared" si="24"/>
        <v>14</v>
      </c>
      <c r="T18" s="102">
        <f t="shared" si="24"/>
        <v>14</v>
      </c>
      <c r="U18" s="102">
        <f t="shared" si="24"/>
        <v>13</v>
      </c>
      <c r="V18" s="102">
        <f t="shared" si="24"/>
        <v>13</v>
      </c>
      <c r="W18" s="102">
        <f t="shared" si="24"/>
        <v>13</v>
      </c>
      <c r="X18" s="102">
        <f t="shared" si="24"/>
        <v>13</v>
      </c>
      <c r="Z18" s="102">
        <f t="shared" ref="Z18:AI18" si="25">Z$10</f>
        <v>0</v>
      </c>
      <c r="AA18" s="102">
        <f t="shared" si="25"/>
        <v>0</v>
      </c>
      <c r="AB18" s="102">
        <f t="shared" si="25"/>
        <v>0</v>
      </c>
      <c r="AC18" s="102">
        <f t="shared" si="25"/>
        <v>1</v>
      </c>
      <c r="AD18" s="102">
        <f t="shared" si="25"/>
        <v>1.2</v>
      </c>
      <c r="AE18" s="102">
        <f t="shared" si="25"/>
        <v>1.2</v>
      </c>
      <c r="AF18" s="102">
        <f t="shared" si="25"/>
        <v>1.2</v>
      </c>
      <c r="AG18" s="102">
        <f t="shared" si="25"/>
        <v>1.2</v>
      </c>
      <c r="AH18" s="102">
        <f t="shared" si="25"/>
        <v>1.2</v>
      </c>
      <c r="AI18" s="102">
        <f t="shared" si="25"/>
        <v>1.2</v>
      </c>
      <c r="AK18" s="102">
        <f t="shared" ref="AK18:AT18" si="26">AK$10</f>
        <v>0</v>
      </c>
      <c r="AL18" s="102">
        <f t="shared" si="26"/>
        <v>0</v>
      </c>
      <c r="AM18" s="102">
        <f t="shared" si="26"/>
        <v>0</v>
      </c>
      <c r="AN18" s="102">
        <f t="shared" si="26"/>
        <v>500</v>
      </c>
      <c r="AO18" s="102">
        <f t="shared" si="26"/>
        <v>500</v>
      </c>
      <c r="AP18" s="102">
        <f t="shared" si="26"/>
        <v>500</v>
      </c>
      <c r="AQ18" s="102">
        <f t="shared" si="26"/>
        <v>400</v>
      </c>
      <c r="AR18" s="102">
        <f t="shared" si="26"/>
        <v>375</v>
      </c>
      <c r="AS18" s="102">
        <f t="shared" si="26"/>
        <v>250</v>
      </c>
      <c r="AT18" s="102">
        <f t="shared" si="26"/>
        <v>200</v>
      </c>
      <c r="AV18" s="102">
        <f t="shared" ref="AV18:BE18" si="27">AV$10</f>
        <v>0</v>
      </c>
      <c r="AW18" s="102">
        <f t="shared" si="27"/>
        <v>0</v>
      </c>
      <c r="AX18" s="102">
        <f t="shared" si="27"/>
        <v>0</v>
      </c>
      <c r="AY18" s="102">
        <f t="shared" si="27"/>
        <v>50</v>
      </c>
      <c r="AZ18" s="102">
        <f t="shared" si="27"/>
        <v>50</v>
      </c>
      <c r="BA18" s="102">
        <f t="shared" si="27"/>
        <v>50</v>
      </c>
      <c r="BB18" s="102">
        <f t="shared" si="27"/>
        <v>50</v>
      </c>
      <c r="BC18" s="102">
        <f t="shared" si="27"/>
        <v>50</v>
      </c>
      <c r="BD18" s="102">
        <f t="shared" si="27"/>
        <v>50</v>
      </c>
      <c r="BE18" s="102">
        <f t="shared" si="27"/>
        <v>50</v>
      </c>
      <c r="BG18" s="102"/>
      <c r="BH18" s="102"/>
      <c r="BI18" s="102"/>
      <c r="BJ18" s="102"/>
      <c r="BK18" s="102"/>
      <c r="BL18" s="102"/>
      <c r="BM18" s="102"/>
      <c r="BN18" s="102"/>
      <c r="BO18" s="102"/>
      <c r="BP18" s="102"/>
      <c r="BR18" s="102"/>
      <c r="BS18" s="102"/>
      <c r="BT18" s="102"/>
      <c r="BU18" s="102"/>
      <c r="BV18" s="102"/>
      <c r="BW18" s="102"/>
      <c r="BX18" s="102"/>
      <c r="BY18" s="102"/>
      <c r="BZ18" s="102"/>
      <c r="CA18" s="102"/>
      <c r="CC18" s="102"/>
      <c r="CD18" s="102"/>
      <c r="CE18" s="102"/>
      <c r="CF18" s="102"/>
      <c r="CG18" s="102"/>
      <c r="CH18" s="102"/>
      <c r="CI18" s="102"/>
      <c r="CJ18" s="102"/>
      <c r="CK18" s="102"/>
      <c r="CL18" s="102"/>
      <c r="CN18" s="102"/>
      <c r="CO18" s="102"/>
      <c r="CP18" s="102"/>
      <c r="CQ18" s="102"/>
      <c r="CR18" s="102"/>
      <c r="CS18" s="102"/>
      <c r="CT18" s="102"/>
      <c r="CU18" s="102"/>
      <c r="CV18" s="102"/>
      <c r="CW18" s="102"/>
    </row>
    <row r="19" spans="2:102">
      <c r="B19" s="101" t="s">
        <v>482</v>
      </c>
      <c r="C19" s="102"/>
      <c r="D19" s="102">
        <f>_xlfn.XLOOKUP(D$5, 'Project Playground ROI'!$F$29:$AL$29, 'Project Playground ROI'!$F$74:$AL$74, 0)</f>
        <v>0</v>
      </c>
      <c r="E19" s="102">
        <f>_xlfn.XLOOKUP(E$5, 'Project Playground ROI'!$F$29:$AL$29, 'Project Playground ROI'!$F$74:$AL$74, 0)</f>
        <v>0</v>
      </c>
      <c r="F19" s="102">
        <f>_xlfn.XLOOKUP(F$5, 'Project Playground ROI'!$F$29:$AL$29, 'Project Playground ROI'!$F$74:$AL$74, 0)</f>
        <v>0</v>
      </c>
      <c r="G19" s="102">
        <f>_xlfn.XLOOKUP(G$5, 'Project Playground ROI'!$F$29:$AL$29, 'Project Playground ROI'!$F$74:$AL$74, 0)</f>
        <v>0</v>
      </c>
      <c r="H19" s="102">
        <f>_xlfn.XLOOKUP(H$5, 'Project Playground ROI'!$F$29:$AL$29, 'Project Playground ROI'!$F$74:$AL$74, 0)</f>
        <v>14.980402795582567</v>
      </c>
      <c r="I19" s="102">
        <f>_xlfn.XLOOKUP(I$5, 'Project Playground ROI'!$F$29:$AL$29, 'Project Playground ROI'!$F$74:$AL$74, 0)</f>
        <v>12.728638964414783</v>
      </c>
      <c r="J19" s="102">
        <f>_xlfn.XLOOKUP(J$5, 'Project Playground ROI'!$F$29:$AL$29, 'Project Playground ROI'!$F$74:$AL$74, 0)</f>
        <v>12.619505953191512</v>
      </c>
      <c r="K19" s="102">
        <f>_xlfn.XLOOKUP(K$5, 'Project Playground ROI'!$F$29:$AL$29, 'Project Playground ROI'!$F$74:$AL$74, 0)</f>
        <v>12.511827072656306</v>
      </c>
      <c r="L19" s="102">
        <f>_xlfn.XLOOKUP(L$5, 'Project Playground ROI'!$F$29:$AL$29, 'Project Playground ROI'!$F$74:$AL$74, 0)</f>
        <v>12.421094566113325</v>
      </c>
      <c r="M19" s="102">
        <f>_xlfn.XLOOKUP(M$5, 'Project Playground ROI'!$F$29:$AL$29, 'Project Playground ROI'!$F$74:$AL$74, 0)</f>
        <v>12.363111561931982</v>
      </c>
      <c r="O19" s="102">
        <f>_xlfn.XLOOKUP(O$5, 'Project Playground ROI'!$F$29:$AL$29, 'Project Playground ROI'!$F$75:$AL$75, 0)</f>
        <v>0</v>
      </c>
      <c r="P19" s="102">
        <f>_xlfn.XLOOKUP(P$5, 'Project Playground ROI'!$F$29:$AL$29, 'Project Playground ROI'!$F$75:$AL$75, 0)</f>
        <v>0</v>
      </c>
      <c r="Q19" s="102">
        <f>_xlfn.XLOOKUP(Q$5, 'Project Playground ROI'!$F$29:$AL$29, 'Project Playground ROI'!$F$75:$AL$75, 0)</f>
        <v>0</v>
      </c>
      <c r="R19" s="102">
        <f>_xlfn.XLOOKUP(R$5, 'Project Playground ROI'!$F$29:$AL$29, 'Project Playground ROI'!$F$75:$AL$75, 0)</f>
        <v>0</v>
      </c>
      <c r="S19" s="102">
        <f>_xlfn.XLOOKUP(S$5, 'Project Playground ROI'!$F$29:$AL$29, 'Project Playground ROI'!$F$75:$AL$75, 0)</f>
        <v>14.795650341390211</v>
      </c>
      <c r="T19" s="102">
        <f>_xlfn.XLOOKUP(T$5, 'Project Playground ROI'!$F$29:$AL$29, 'Project Playground ROI'!$F$75:$AL$75, 0)</f>
        <v>12.54624866244642</v>
      </c>
      <c r="U19" s="102">
        <f>_xlfn.XLOOKUP(U$5, 'Project Playground ROI'!$F$29:$AL$29, 'Project Playground ROI'!$F$75:$AL$75, 0)</f>
        <v>12.439504968197717</v>
      </c>
      <c r="V19" s="102">
        <f>_xlfn.XLOOKUP(V$5, 'Project Playground ROI'!$F$29:$AL$29, 'Project Playground ROI'!$F$75:$AL$75, 0)</f>
        <v>12.33424288178229</v>
      </c>
      <c r="W19" s="102">
        <f>_xlfn.XLOOKUP(W$5, 'Project Playground ROI'!$F$29:$AL$29, 'Project Playground ROI'!$F$75:$AL$75, 0)</f>
        <v>12.245954962491464</v>
      </c>
      <c r="X19" s="102">
        <f>_xlfn.XLOOKUP(X$5, 'Project Playground ROI'!$F$29:$AL$29, 'Project Playground ROI'!$F$75:$AL$75, 0)</f>
        <v>12.190444658315677</v>
      </c>
      <c r="Z19" s="102">
        <f>_xlfn.XLOOKUP(Z$5, 'Project Playground ROI'!$F$29:$AL$29, 'Project Playground ROI'!$F$76:$AL$76, 0)</f>
        <v>0</v>
      </c>
      <c r="AA19" s="102">
        <f>_xlfn.XLOOKUP(AA$5, 'Project Playground ROI'!$F$29:$AL$29, 'Project Playground ROI'!$F$76:$AL$76, 0)</f>
        <v>0</v>
      </c>
      <c r="AB19" s="102">
        <f>_xlfn.XLOOKUP(AB$5, 'Project Playground ROI'!$F$29:$AL$29, 'Project Playground ROI'!$F$76:$AL$76, 0)</f>
        <v>0</v>
      </c>
      <c r="AC19" s="102">
        <f>_xlfn.XLOOKUP(AC$5, 'Project Playground ROI'!$F$29:$AL$29, 'Project Playground ROI'!$F$76:$AL$76, 0)</f>
        <v>0</v>
      </c>
      <c r="AD19" s="102">
        <f>_xlfn.XLOOKUP(AD$5, 'Project Playground ROI'!$F$29:$AL$29, 'Project Playground ROI'!$F$76:$AL$76, 0)</f>
        <v>0.77999999999999992</v>
      </c>
      <c r="AE19" s="102">
        <f>_xlfn.XLOOKUP(AE$5, 'Project Playground ROI'!$F$29:$AL$29, 'Project Playground ROI'!$F$76:$AL$76, 0)</f>
        <v>0.66</v>
      </c>
      <c r="AF19" s="102">
        <f>_xlfn.XLOOKUP(AF$5, 'Project Playground ROI'!$F$29:$AL$29, 'Project Playground ROI'!$F$76:$AL$76, 0)</f>
        <v>0.66</v>
      </c>
      <c r="AG19" s="102">
        <f>_xlfn.XLOOKUP(AG$5, 'Project Playground ROI'!$F$29:$AL$29, 'Project Playground ROI'!$F$76:$AL$76, 0)</f>
        <v>0.66</v>
      </c>
      <c r="AH19" s="102">
        <f>_xlfn.XLOOKUP(AH$5, 'Project Playground ROI'!$F$29:$AL$29, 'Project Playground ROI'!$F$76:$AL$76, 0)</f>
        <v>0.66</v>
      </c>
      <c r="AI19" s="102">
        <f>_xlfn.XLOOKUP(AI$5, 'Project Playground ROI'!$F$29:$AL$29, 'Project Playground ROI'!$F$76:$AL$76, 0)</f>
        <v>0.66</v>
      </c>
      <c r="AK19" s="102">
        <f>_xlfn.XLOOKUP(AK$5, 'Project Playground ROI'!$F$29:$AL$29, 'Project Playground ROI'!$F$77:$AL$77, 0)</f>
        <v>0</v>
      </c>
      <c r="AL19" s="102">
        <f>_xlfn.XLOOKUP(AL$5, 'Project Playground ROI'!$F$29:$AL$29, 'Project Playground ROI'!$F$77:$AL$77, 0)</f>
        <v>0</v>
      </c>
      <c r="AM19" s="102">
        <f>_xlfn.XLOOKUP(AM$5, 'Project Playground ROI'!$F$29:$AL$29, 'Project Playground ROI'!$F$77:$AL$77, 0)</f>
        <v>0</v>
      </c>
      <c r="AN19" s="102">
        <f>_xlfn.XLOOKUP(AN$5, 'Project Playground ROI'!$F$29:$AL$29, 'Project Playground ROI'!$F$77:$AL$77, 0)</f>
        <v>0</v>
      </c>
      <c r="AO19" s="102">
        <f>_xlfn.XLOOKUP(AO$5, 'Project Playground ROI'!$F$29:$AL$29, 'Project Playground ROI'!$F$77:$AL$77, 0)</f>
        <v>0</v>
      </c>
      <c r="AP19" s="102">
        <f>_xlfn.XLOOKUP(AP$5, 'Project Playground ROI'!$F$29:$AL$29, 'Project Playground ROI'!$F$77:$AL$77, 0)</f>
        <v>277.64789953973519</v>
      </c>
      <c r="AQ19" s="102">
        <f>_xlfn.XLOOKUP(AQ$5, 'Project Playground ROI'!$F$29:$AL$29, 'Project Playground ROI'!$F$77:$AL$77, 0)</f>
        <v>262.73814187526051</v>
      </c>
      <c r="AR19" s="102">
        <f>_xlfn.XLOOKUP(AR$5, 'Project Playground ROI'!$F$29:$AL$29, 'Project Playground ROI'!$F$77:$AL$77, 0)</f>
        <v>251.20777386950041</v>
      </c>
      <c r="AS19" s="102">
        <f>_xlfn.XLOOKUP(AS$5, 'Project Playground ROI'!$F$29:$AL$29, 'Project Playground ROI'!$F$77:$AL$77, 0)</f>
        <v>242.07712269015971</v>
      </c>
      <c r="AT19" s="102">
        <f>_xlfn.XLOOKUP(AT$5, 'Project Playground ROI'!$F$29:$AL$29, 'Project Playground ROI'!$F$77:$AL$77, 0)</f>
        <v>236.98231246797869</v>
      </c>
      <c r="AV19" s="102">
        <f>_xlfn.XLOOKUP(AV$5, 'Project Playground ROI'!$F$29:$AL$29, 'Project Playground ROI'!$F$78:$AL$78, 0)</f>
        <v>0</v>
      </c>
      <c r="AW19" s="102">
        <f>_xlfn.XLOOKUP(AW$5, 'Project Playground ROI'!$F$29:$AL$29, 'Project Playground ROI'!$F$78:$AL$78, 0)</f>
        <v>0</v>
      </c>
      <c r="AX19" s="102">
        <f>_xlfn.XLOOKUP(AX$5, 'Project Playground ROI'!$F$29:$AL$29, 'Project Playground ROI'!$F$78:$AL$78, 0)</f>
        <v>0</v>
      </c>
      <c r="AY19" s="102">
        <f>_xlfn.XLOOKUP(AY$5, 'Project Playground ROI'!$F$29:$AL$29, 'Project Playground ROI'!$F$78:$AL$78, 0)</f>
        <v>0</v>
      </c>
      <c r="AZ19" s="102">
        <f>_xlfn.XLOOKUP(AZ$5, 'Project Playground ROI'!$F$29:$AL$29, 'Project Playground ROI'!$F$78:$AL$78, 0)</f>
        <v>0</v>
      </c>
      <c r="BA19" s="102">
        <f>_xlfn.XLOOKUP(BA$5, 'Project Playground ROI'!$F$29:$AL$29, 'Project Playground ROI'!$F$78:$AL$78, 0)</f>
        <v>0</v>
      </c>
      <c r="BB19" s="102">
        <f>_xlfn.XLOOKUP(BB$5, 'Project Playground ROI'!$F$29:$AL$29, 'Project Playground ROI'!$F$78:$AL$78, 0)</f>
        <v>50.618809469132707</v>
      </c>
      <c r="BC19" s="102">
        <f>_xlfn.XLOOKUP(BC$5, 'Project Playground ROI'!$F$29:$AL$29, 'Project Playground ROI'!$F$78:$AL$78, 0)</f>
        <v>46.507776457931044</v>
      </c>
      <c r="BD19" s="102">
        <f>_xlfn.XLOOKUP(BD$5, 'Project Playground ROI'!$F$29:$AL$29, 'Project Playground ROI'!$F$78:$AL$78, 0)</f>
        <v>44.933695491461954</v>
      </c>
      <c r="BE19" s="102">
        <f>_xlfn.XLOOKUP(BE$5, 'Project Playground ROI'!$F$29:$AL$29, 'Project Playground ROI'!$F$78:$AL$78, 0)</f>
        <v>44.298515256266597</v>
      </c>
      <c r="BG19" s="102"/>
      <c r="BH19" s="102"/>
      <c r="BI19" s="102"/>
      <c r="BJ19" s="102"/>
      <c r="BK19" s="102"/>
      <c r="BL19" s="102"/>
      <c r="BM19" s="102"/>
      <c r="BN19" s="102"/>
      <c r="BO19" s="102"/>
      <c r="BP19" s="102"/>
      <c r="BR19" s="102"/>
      <c r="BS19" s="102"/>
      <c r="BT19" s="102"/>
      <c r="BU19" s="102"/>
      <c r="BV19" s="102"/>
      <c r="BW19" s="102"/>
      <c r="BX19" s="102"/>
      <c r="BY19" s="102"/>
      <c r="BZ19" s="102"/>
      <c r="CA19" s="102"/>
      <c r="CC19" s="102"/>
      <c r="CD19" s="102"/>
      <c r="CE19" s="102"/>
      <c r="CF19" s="102"/>
      <c r="CG19" s="102"/>
      <c r="CH19" s="102"/>
      <c r="CI19" s="102"/>
      <c r="CJ19" s="102"/>
      <c r="CK19" s="102"/>
      <c r="CL19" s="102"/>
      <c r="CN19" s="102"/>
      <c r="CO19" s="102"/>
      <c r="CP19" s="102"/>
      <c r="CQ19" s="102"/>
      <c r="CR19" s="102"/>
      <c r="CS19" s="102"/>
      <c r="CT19" s="102"/>
      <c r="CU19" s="102"/>
      <c r="CV19" s="102"/>
      <c r="CW19" s="102"/>
    </row>
    <row r="20" spans="2:102">
      <c r="B20" s="107"/>
      <c r="C20" s="112"/>
      <c r="D20" s="112"/>
      <c r="E20" s="112"/>
      <c r="F20" s="112"/>
      <c r="G20" s="112"/>
      <c r="H20" s="112"/>
      <c r="I20" s="112"/>
      <c r="J20" s="112"/>
      <c r="K20" s="112"/>
      <c r="L20" s="112"/>
      <c r="M20" s="112"/>
      <c r="O20" s="112"/>
      <c r="P20" s="112"/>
      <c r="Q20" s="112"/>
      <c r="R20" s="112"/>
      <c r="S20" s="112"/>
      <c r="T20" s="112"/>
      <c r="U20" s="112"/>
      <c r="V20" s="112"/>
      <c r="W20" s="112"/>
      <c r="X20" s="112"/>
      <c r="Z20" s="112"/>
      <c r="AA20" s="112"/>
      <c r="AB20" s="112"/>
      <c r="AC20" s="112"/>
      <c r="AD20" s="112"/>
      <c r="AE20" s="112"/>
      <c r="AF20" s="112"/>
      <c r="AG20" s="112"/>
      <c r="AH20" s="112"/>
      <c r="AI20" s="112"/>
      <c r="AK20" s="112"/>
      <c r="AL20" s="112"/>
      <c r="AM20" s="112"/>
      <c r="AN20" s="112"/>
      <c r="AO20" s="112"/>
      <c r="AP20" s="112"/>
      <c r="AQ20" s="112"/>
      <c r="AR20" s="112"/>
      <c r="AS20" s="112"/>
      <c r="AT20" s="112"/>
      <c r="AV20" s="112"/>
      <c r="AW20" s="112"/>
      <c r="AX20" s="112"/>
      <c r="AY20" s="112"/>
      <c r="AZ20" s="112"/>
      <c r="BA20" s="112"/>
      <c r="BB20" s="112"/>
      <c r="BC20" s="112"/>
      <c r="BD20" s="112"/>
      <c r="BE20" s="112"/>
      <c r="BG20" s="112"/>
      <c r="BH20" s="112"/>
      <c r="BI20" s="112"/>
      <c r="BJ20" s="112"/>
      <c r="BK20" s="112"/>
      <c r="BL20" s="112"/>
      <c r="BM20" s="112"/>
      <c r="BN20" s="112"/>
      <c r="BO20" s="112"/>
      <c r="BP20" s="112"/>
      <c r="BR20" s="112"/>
      <c r="BS20" s="112"/>
      <c r="BT20" s="112"/>
      <c r="BU20" s="112"/>
      <c r="BV20" s="112"/>
      <c r="BW20" s="112"/>
      <c r="BX20" s="112"/>
      <c r="BY20" s="112"/>
      <c r="BZ20" s="112"/>
      <c r="CA20" s="112"/>
      <c r="CC20" s="112"/>
      <c r="CD20" s="112"/>
      <c r="CE20" s="112"/>
      <c r="CF20" s="112"/>
      <c r="CG20" s="112"/>
      <c r="CH20" s="112"/>
      <c r="CI20" s="112"/>
      <c r="CJ20" s="112"/>
      <c r="CK20" s="112"/>
      <c r="CL20" s="112"/>
      <c r="CN20" s="112"/>
      <c r="CO20" s="112"/>
      <c r="CP20" s="112"/>
      <c r="CQ20" s="112"/>
      <c r="CR20" s="112"/>
      <c r="CS20" s="112"/>
      <c r="CT20" s="112"/>
      <c r="CU20" s="112"/>
      <c r="CV20" s="112"/>
      <c r="CW20" s="112"/>
    </row>
    <row r="21" spans="2:102" ht="3.75" customHeight="1">
      <c r="B21" s="103"/>
      <c r="C21" s="14"/>
      <c r="D21" s="14"/>
      <c r="E21" s="14"/>
      <c r="F21" s="14"/>
      <c r="G21" s="14"/>
      <c r="H21" s="14"/>
      <c r="I21" s="14"/>
      <c r="J21" s="14"/>
      <c r="K21" s="14"/>
      <c r="L21" s="14"/>
      <c r="M21" s="14"/>
      <c r="O21" s="14"/>
      <c r="P21" s="14"/>
      <c r="Q21" s="14"/>
      <c r="R21" s="14"/>
      <c r="S21" s="14"/>
      <c r="T21" s="14"/>
      <c r="U21" s="14"/>
      <c r="V21" s="14"/>
      <c r="W21" s="14"/>
      <c r="X21" s="14"/>
      <c r="Z21" s="14"/>
      <c r="AA21" s="14"/>
      <c r="AB21" s="14"/>
      <c r="AC21" s="14"/>
      <c r="AD21" s="14"/>
      <c r="AE21" s="14"/>
      <c r="AF21" s="14"/>
      <c r="AG21" s="14"/>
      <c r="AH21" s="14"/>
      <c r="AI21" s="14"/>
      <c r="AK21" s="14"/>
      <c r="AL21" s="14"/>
      <c r="AM21" s="14"/>
      <c r="AN21" s="14"/>
      <c r="AO21" s="14"/>
      <c r="AP21" s="14"/>
      <c r="AQ21" s="14"/>
      <c r="AR21" s="14"/>
      <c r="AS21" s="14"/>
      <c r="AT21" s="14"/>
      <c r="AV21" s="14"/>
      <c r="AW21" s="14"/>
      <c r="AX21" s="14"/>
      <c r="AY21" s="14"/>
      <c r="AZ21" s="14"/>
      <c r="BA21" s="14"/>
      <c r="BB21" s="14"/>
      <c r="BC21" s="14"/>
      <c r="BD21" s="14"/>
      <c r="BE21" s="14"/>
      <c r="BG21" s="14"/>
      <c r="BH21" s="14"/>
      <c r="BI21" s="14"/>
      <c r="BJ21" s="14"/>
      <c r="BK21" s="14"/>
      <c r="BL21" s="14"/>
      <c r="BM21" s="14"/>
      <c r="BN21" s="14"/>
      <c r="BO21" s="14"/>
      <c r="BP21" s="14"/>
      <c r="BR21" s="14"/>
      <c r="BS21" s="14"/>
      <c r="BT21" s="14"/>
      <c r="BU21" s="14"/>
      <c r="BV21" s="14"/>
      <c r="BW21" s="14"/>
      <c r="BX21" s="14"/>
      <c r="BY21" s="14"/>
      <c r="BZ21" s="14"/>
      <c r="CA21" s="14"/>
      <c r="CC21" s="14"/>
      <c r="CD21" s="14"/>
      <c r="CE21" s="14"/>
      <c r="CF21" s="14"/>
      <c r="CG21" s="14"/>
      <c r="CH21" s="14"/>
      <c r="CI21" s="14"/>
      <c r="CJ21" s="14"/>
      <c r="CK21" s="14"/>
      <c r="CL21" s="14"/>
      <c r="CN21" s="14"/>
      <c r="CO21" s="14"/>
      <c r="CP21" s="14"/>
      <c r="CQ21" s="14"/>
      <c r="CR21" s="14"/>
      <c r="CS21" s="14"/>
      <c r="CT21" s="14"/>
      <c r="CU21" s="14"/>
      <c r="CV21" s="14"/>
      <c r="CW21" s="14"/>
    </row>
    <row r="22" spans="2:102" s="100" customFormat="1">
      <c r="B22" s="104" t="s">
        <v>539</v>
      </c>
      <c r="C22" s="105"/>
      <c r="D22" s="105"/>
      <c r="E22" s="105">
        <v>112</v>
      </c>
      <c r="F22" s="105">
        <v>118</v>
      </c>
      <c r="G22" s="105"/>
      <c r="H22" s="105"/>
      <c r="I22" s="105"/>
      <c r="J22" s="105"/>
      <c r="K22" s="105"/>
      <c r="L22" s="105"/>
      <c r="M22" s="105"/>
      <c r="O22" s="105"/>
      <c r="P22" s="105"/>
      <c r="Q22" s="105"/>
      <c r="R22" s="105"/>
      <c r="S22" s="105"/>
      <c r="T22" s="105"/>
      <c r="U22" s="105"/>
      <c r="V22" s="105"/>
      <c r="W22" s="105"/>
      <c r="X22" s="105"/>
      <c r="Z22" s="105"/>
      <c r="AA22" s="105"/>
      <c r="AB22" s="105"/>
      <c r="AC22" s="105"/>
      <c r="AD22" s="105"/>
      <c r="AE22" s="105"/>
      <c r="AF22" s="105"/>
      <c r="AG22" s="105"/>
      <c r="AH22" s="105"/>
      <c r="AI22" s="105"/>
      <c r="AK22" s="105"/>
      <c r="AL22" s="105"/>
      <c r="AM22" s="105"/>
      <c r="AN22" s="105"/>
      <c r="AO22" s="105"/>
      <c r="AP22" s="105"/>
      <c r="AQ22" s="105"/>
      <c r="AR22" s="105"/>
      <c r="AS22" s="105"/>
      <c r="AT22" s="105"/>
      <c r="AV22" s="105"/>
      <c r="AW22" s="105"/>
      <c r="AX22" s="105"/>
      <c r="AY22" s="105"/>
      <c r="AZ22" s="105"/>
      <c r="BA22" s="105"/>
      <c r="BB22" s="105"/>
      <c r="BC22" s="105"/>
      <c r="BD22" s="105"/>
      <c r="BE22" s="105"/>
      <c r="BG22" s="105"/>
      <c r="BH22" s="105"/>
      <c r="BI22" s="105"/>
      <c r="BJ22" s="105"/>
      <c r="BK22" s="105"/>
      <c r="BL22" s="105"/>
      <c r="BM22" s="105"/>
      <c r="BN22" s="105"/>
      <c r="BO22" s="105"/>
      <c r="BP22" s="105"/>
      <c r="BR22" s="105"/>
      <c r="BS22" s="105"/>
      <c r="BT22" s="105"/>
      <c r="BU22" s="105"/>
      <c r="BV22" s="105"/>
      <c r="BW22" s="105"/>
      <c r="BX22" s="105"/>
      <c r="BY22" s="105"/>
      <c r="BZ22" s="105"/>
      <c r="CA22" s="105"/>
      <c r="CB22" s="100">
        <v>10</v>
      </c>
      <c r="CC22" s="105"/>
      <c r="CD22" s="105"/>
      <c r="CE22" s="105"/>
      <c r="CF22" s="105"/>
      <c r="CG22" s="105"/>
      <c r="CH22" s="105"/>
      <c r="CI22" s="105"/>
      <c r="CJ22" s="105"/>
      <c r="CK22" s="105"/>
      <c r="CL22" s="105"/>
      <c r="CM22" s="100">
        <v>10</v>
      </c>
      <c r="CN22" s="105"/>
      <c r="CO22" s="105"/>
      <c r="CP22" s="105"/>
      <c r="CQ22" s="105"/>
      <c r="CR22" s="105"/>
      <c r="CS22" s="105"/>
      <c r="CT22" s="105"/>
      <c r="CU22" s="105"/>
      <c r="CV22" s="105"/>
      <c r="CW22" s="105"/>
      <c r="CX22" s="8"/>
    </row>
    <row r="23" spans="2:102">
      <c r="B23" s="101" t="s">
        <v>521</v>
      </c>
      <c r="C23" s="102"/>
      <c r="D23" s="102"/>
      <c r="E23" s="102">
        <v>21.42</v>
      </c>
      <c r="F23" s="102">
        <v>18.5</v>
      </c>
      <c r="G23" s="102"/>
      <c r="H23" s="102"/>
      <c r="I23" s="102"/>
      <c r="J23" s="102"/>
      <c r="K23" s="102"/>
      <c r="L23" s="102"/>
      <c r="M23" s="102"/>
      <c r="O23" s="102"/>
      <c r="P23" s="102"/>
      <c r="Q23" s="102"/>
      <c r="R23" s="102"/>
      <c r="S23" s="102"/>
      <c r="T23" s="102"/>
      <c r="U23" s="102"/>
      <c r="V23" s="102"/>
      <c r="W23" s="102"/>
      <c r="X23" s="102"/>
      <c r="Z23" s="102">
        <f>Z$10</f>
        <v>0</v>
      </c>
      <c r="AA23" s="102">
        <v>0</v>
      </c>
      <c r="AB23" s="102">
        <v>0</v>
      </c>
      <c r="AC23" s="102">
        <f t="shared" ref="AC23:AI23" si="28">AC$10</f>
        <v>1</v>
      </c>
      <c r="AD23" s="102">
        <f t="shared" si="28"/>
        <v>1.2</v>
      </c>
      <c r="AE23" s="102">
        <f t="shared" si="28"/>
        <v>1.2</v>
      </c>
      <c r="AF23" s="102">
        <f t="shared" si="28"/>
        <v>1.2</v>
      </c>
      <c r="AG23" s="102">
        <f t="shared" si="28"/>
        <v>1.2</v>
      </c>
      <c r="AH23" s="102">
        <f t="shared" si="28"/>
        <v>1.2</v>
      </c>
      <c r="AI23" s="102">
        <f t="shared" si="28"/>
        <v>1.2</v>
      </c>
      <c r="AK23" s="102"/>
      <c r="AL23" s="102"/>
      <c r="AM23" s="102"/>
      <c r="AN23" s="102"/>
      <c r="AO23" s="102"/>
      <c r="AP23" s="102"/>
      <c r="AQ23" s="102"/>
      <c r="AR23" s="102"/>
      <c r="AS23" s="102"/>
      <c r="AT23" s="102"/>
      <c r="AV23" s="102"/>
      <c r="AW23" s="102"/>
      <c r="AX23" s="102"/>
      <c r="AY23" s="102"/>
      <c r="AZ23" s="102"/>
      <c r="BA23" s="102"/>
      <c r="BB23" s="102"/>
      <c r="BC23" s="102"/>
      <c r="BD23" s="102"/>
      <c r="BE23" s="102"/>
      <c r="BG23" s="102"/>
      <c r="BH23" s="102"/>
      <c r="BI23" s="102"/>
      <c r="BJ23" s="102"/>
      <c r="BK23" s="102"/>
      <c r="BL23" s="102"/>
      <c r="BM23" s="102"/>
      <c r="BN23" s="102"/>
      <c r="BO23" s="102"/>
      <c r="BP23" s="102"/>
      <c r="BR23" s="102"/>
      <c r="BS23" s="102"/>
      <c r="BT23" s="102"/>
      <c r="BU23" s="102"/>
      <c r="BV23" s="102"/>
      <c r="BW23" s="102"/>
      <c r="BX23" s="102"/>
      <c r="BY23" s="102"/>
      <c r="BZ23" s="102"/>
      <c r="CA23" s="102"/>
      <c r="CC23" s="102"/>
      <c r="CD23" s="102"/>
      <c r="CE23" s="102"/>
      <c r="CF23" s="102"/>
      <c r="CG23" s="102"/>
      <c r="CH23" s="102"/>
      <c r="CI23" s="102"/>
      <c r="CJ23" s="102"/>
      <c r="CK23" s="102"/>
      <c r="CL23" s="102"/>
      <c r="CN23" s="102"/>
      <c r="CO23" s="102"/>
      <c r="CP23" s="102"/>
      <c r="CQ23" s="102"/>
      <c r="CR23" s="102"/>
      <c r="CS23" s="102"/>
      <c r="CT23" s="102"/>
      <c r="CU23" s="102"/>
      <c r="CV23" s="102"/>
      <c r="CW23" s="102"/>
    </row>
    <row r="24" spans="2:102">
      <c r="B24" s="101" t="s">
        <v>107</v>
      </c>
      <c r="C24" s="102"/>
      <c r="D24" s="102"/>
      <c r="E24" s="102">
        <v>99</v>
      </c>
      <c r="F24" s="102">
        <v>98.5</v>
      </c>
      <c r="G24" s="102"/>
      <c r="H24" s="102"/>
      <c r="I24" s="102"/>
      <c r="J24" s="102"/>
      <c r="K24" s="102"/>
      <c r="L24" s="102"/>
      <c r="M24" s="102"/>
      <c r="O24" s="102"/>
      <c r="P24" s="102"/>
      <c r="Q24" s="102"/>
      <c r="R24" s="102"/>
      <c r="S24" s="102"/>
      <c r="T24" s="102"/>
      <c r="U24" s="102"/>
      <c r="V24" s="102"/>
      <c r="W24" s="102"/>
      <c r="X24" s="102"/>
      <c r="Z24" s="102"/>
      <c r="AA24" s="102"/>
      <c r="AB24" s="102"/>
      <c r="AC24" s="102"/>
      <c r="AD24" s="102"/>
      <c r="AE24" s="102"/>
      <c r="AF24" s="102"/>
      <c r="AG24" s="102"/>
      <c r="AH24" s="102"/>
      <c r="AI24" s="102"/>
      <c r="AK24" s="102"/>
      <c r="AL24" s="102"/>
      <c r="AM24" s="102"/>
      <c r="AN24" s="102"/>
      <c r="AO24" s="102"/>
      <c r="AP24" s="102"/>
      <c r="AQ24" s="102"/>
      <c r="AR24" s="102"/>
      <c r="AS24" s="102"/>
      <c r="AT24" s="102"/>
      <c r="AV24" s="102"/>
      <c r="AW24" s="102"/>
      <c r="AX24" s="102"/>
      <c r="AY24" s="102"/>
      <c r="AZ24" s="102"/>
      <c r="BA24" s="102"/>
      <c r="BB24" s="102"/>
      <c r="BC24" s="102"/>
      <c r="BD24" s="102"/>
      <c r="BE24" s="102"/>
      <c r="BG24" s="102"/>
      <c r="BH24" s="102"/>
      <c r="BI24" s="102"/>
      <c r="BJ24" s="102"/>
      <c r="BK24" s="102"/>
      <c r="BL24" s="102"/>
      <c r="BM24" s="102"/>
      <c r="BN24" s="102"/>
      <c r="BO24" s="102"/>
      <c r="BP24" s="102"/>
      <c r="BR24" s="102"/>
      <c r="BS24" s="102"/>
      <c r="BT24" s="102"/>
      <c r="BU24" s="102"/>
      <c r="BV24" s="102"/>
      <c r="BW24" s="102"/>
      <c r="BX24" s="102"/>
      <c r="BY24" s="102"/>
      <c r="BZ24" s="102"/>
      <c r="CA24" s="102"/>
      <c r="CC24" s="102"/>
      <c r="CD24" s="102"/>
      <c r="CE24" s="102"/>
      <c r="CF24" s="102"/>
      <c r="CG24" s="102"/>
      <c r="CH24" s="102"/>
      <c r="CI24" s="102"/>
      <c r="CJ24" s="102"/>
      <c r="CK24" s="102"/>
      <c r="CL24" s="102"/>
      <c r="CN24" s="102"/>
      <c r="CO24" s="102"/>
      <c r="CP24" s="102"/>
      <c r="CQ24" s="102"/>
      <c r="CR24" s="102"/>
      <c r="CS24" s="102"/>
      <c r="CT24" s="102"/>
      <c r="CU24" s="102"/>
      <c r="CV24" s="102"/>
      <c r="CW24" s="102"/>
    </row>
    <row r="25" spans="2:102" ht="3.75" customHeight="1">
      <c r="B25" s="103"/>
      <c r="C25" s="14"/>
      <c r="D25" s="14"/>
      <c r="E25" s="14"/>
      <c r="F25" s="14"/>
      <c r="G25" s="14"/>
      <c r="H25" s="14"/>
      <c r="I25" s="14"/>
      <c r="J25" s="14"/>
      <c r="K25" s="14"/>
      <c r="L25" s="14"/>
      <c r="M25" s="14"/>
      <c r="O25" s="14"/>
      <c r="P25" s="14"/>
      <c r="Q25" s="14"/>
      <c r="R25" s="14"/>
      <c r="S25" s="14"/>
      <c r="T25" s="14"/>
      <c r="U25" s="14"/>
      <c r="V25" s="14"/>
      <c r="W25" s="14"/>
      <c r="X25" s="14"/>
      <c r="Z25" s="14"/>
      <c r="AA25" s="14"/>
      <c r="AB25" s="14"/>
      <c r="AC25" s="14"/>
      <c r="AD25" s="14"/>
      <c r="AE25" s="14"/>
      <c r="AF25" s="14"/>
      <c r="AG25" s="14"/>
      <c r="AH25" s="14"/>
      <c r="AI25" s="14"/>
      <c r="AK25" s="14"/>
      <c r="AL25" s="14"/>
      <c r="AM25" s="14"/>
      <c r="AN25" s="14"/>
      <c r="AO25" s="14"/>
      <c r="AP25" s="14"/>
      <c r="AQ25" s="14"/>
      <c r="AR25" s="14"/>
      <c r="AS25" s="14"/>
      <c r="AT25" s="14"/>
      <c r="AV25" s="14"/>
      <c r="AW25" s="14"/>
      <c r="AX25" s="14"/>
      <c r="AY25" s="14"/>
      <c r="AZ25" s="14"/>
      <c r="BA25" s="14"/>
      <c r="BB25" s="14"/>
      <c r="BC25" s="14"/>
      <c r="BD25" s="14"/>
      <c r="BE25" s="14"/>
      <c r="BG25" s="14"/>
      <c r="BH25" s="14"/>
      <c r="BI25" s="14"/>
      <c r="BJ25" s="14"/>
      <c r="BK25" s="14"/>
      <c r="BL25" s="14"/>
      <c r="BM25" s="14"/>
      <c r="BN25" s="14"/>
      <c r="BO25" s="14"/>
      <c r="BP25" s="14"/>
      <c r="BR25" s="14"/>
      <c r="BS25" s="14"/>
      <c r="BT25" s="14"/>
      <c r="BU25" s="14"/>
      <c r="BV25" s="14"/>
      <c r="BW25" s="14"/>
      <c r="BX25" s="14"/>
      <c r="BY25" s="14"/>
      <c r="BZ25" s="14"/>
      <c r="CA25" s="14"/>
      <c r="CC25" s="14"/>
      <c r="CD25" s="14"/>
      <c r="CE25" s="14"/>
      <c r="CF25" s="14"/>
      <c r="CG25" s="14"/>
      <c r="CH25" s="14"/>
      <c r="CI25" s="14"/>
      <c r="CJ25" s="14"/>
      <c r="CK25" s="14"/>
      <c r="CL25" s="14"/>
      <c r="CN25" s="14"/>
      <c r="CO25" s="14"/>
      <c r="CP25" s="14"/>
      <c r="CQ25" s="14"/>
      <c r="CR25" s="14"/>
      <c r="CS25" s="14"/>
      <c r="CT25" s="14"/>
      <c r="CU25" s="14"/>
      <c r="CV25" s="14"/>
      <c r="CW25" s="14"/>
    </row>
    <row r="26" spans="2:102" s="100" customFormat="1">
      <c r="B26" s="104" t="s">
        <v>672</v>
      </c>
      <c r="C26" s="105"/>
      <c r="D26" s="105"/>
      <c r="E26" s="105">
        <f>182+20</f>
        <v>202</v>
      </c>
      <c r="F26" s="105">
        <v>300</v>
      </c>
      <c r="G26" s="105">
        <v>300</v>
      </c>
      <c r="H26" s="105">
        <v>300</v>
      </c>
      <c r="I26" s="105"/>
      <c r="J26" s="105"/>
      <c r="K26" s="105"/>
      <c r="L26" s="105"/>
      <c r="M26" s="105"/>
      <c r="O26" s="105"/>
      <c r="P26" s="105"/>
      <c r="Q26" s="105"/>
      <c r="R26" s="105"/>
      <c r="S26" s="105"/>
      <c r="T26" s="105"/>
      <c r="U26" s="105"/>
      <c r="V26" s="105"/>
      <c r="W26" s="105"/>
      <c r="X26" s="105"/>
      <c r="Z26" s="105"/>
      <c r="AA26" s="105"/>
      <c r="AB26" s="105"/>
      <c r="AC26" s="105"/>
      <c r="AD26" s="105"/>
      <c r="AE26" s="105"/>
      <c r="AF26" s="105"/>
      <c r="AG26" s="105"/>
      <c r="AH26" s="105"/>
      <c r="AI26" s="105"/>
      <c r="AK26" s="105"/>
      <c r="AL26" s="105"/>
      <c r="AM26" s="105"/>
      <c r="AN26" s="105">
        <v>0.7</v>
      </c>
      <c r="AO26" s="105">
        <v>4</v>
      </c>
      <c r="AP26" s="105"/>
      <c r="AQ26" s="105"/>
      <c r="AR26" s="105"/>
      <c r="AS26" s="105"/>
      <c r="AT26" s="105"/>
      <c r="AV26" s="105"/>
      <c r="AW26" s="105"/>
      <c r="AX26" s="105"/>
      <c r="AY26" s="105"/>
      <c r="AZ26" s="105"/>
      <c r="BA26" s="105"/>
      <c r="BB26" s="105"/>
      <c r="BC26" s="105"/>
      <c r="BD26" s="105"/>
      <c r="BE26" s="105"/>
      <c r="BG26" s="105"/>
      <c r="BH26" s="105"/>
      <c r="BI26" s="105"/>
      <c r="BJ26" s="105"/>
      <c r="BK26" s="105"/>
      <c r="BL26" s="105"/>
      <c r="BM26" s="105"/>
      <c r="BN26" s="105"/>
      <c r="BO26" s="105"/>
      <c r="BP26" s="105"/>
      <c r="BR26" s="105"/>
      <c r="BS26" s="105"/>
      <c r="BT26" s="105"/>
      <c r="BU26" s="105"/>
      <c r="BV26" s="105"/>
      <c r="BW26" s="105"/>
      <c r="BX26" s="105"/>
      <c r="BY26" s="105"/>
      <c r="BZ26" s="105"/>
      <c r="CA26" s="105"/>
      <c r="CC26" s="105"/>
      <c r="CD26" s="105"/>
      <c r="CE26" s="105"/>
      <c r="CF26" s="105"/>
      <c r="CG26" s="105"/>
      <c r="CH26" s="105"/>
      <c r="CI26" s="105"/>
      <c r="CJ26" s="105"/>
      <c r="CK26" s="105"/>
      <c r="CL26" s="105"/>
      <c r="CN26" s="105"/>
      <c r="CO26" s="105"/>
      <c r="CP26" s="105"/>
      <c r="CQ26" s="105"/>
      <c r="CR26" s="105"/>
      <c r="CS26" s="105"/>
      <c r="CT26" s="105"/>
      <c r="CU26" s="105"/>
      <c r="CV26" s="105"/>
      <c r="CW26" s="105"/>
      <c r="CX26" s="8"/>
    </row>
    <row r="27" spans="2:102">
      <c r="B27" s="101" t="s">
        <v>521</v>
      </c>
      <c r="C27" s="102" t="str">
        <f>IF(C$26 = "", "", C23)</f>
        <v/>
      </c>
      <c r="D27" s="102" t="str">
        <f t="shared" ref="D27:F27" si="29">IF(D$26 = "", "", D23)</f>
        <v/>
      </c>
      <c r="E27" s="102">
        <f t="shared" si="29"/>
        <v>21.42</v>
      </c>
      <c r="F27" s="102">
        <f t="shared" si="29"/>
        <v>18.5</v>
      </c>
      <c r="G27" s="102">
        <f>G$10</f>
        <v>17.05</v>
      </c>
      <c r="H27" s="102">
        <f>H$10</f>
        <v>15.400000000000002</v>
      </c>
      <c r="I27" s="102"/>
      <c r="J27" s="102"/>
      <c r="K27" s="102"/>
      <c r="L27" s="102"/>
      <c r="M27" s="102"/>
      <c r="O27" s="102"/>
      <c r="P27" s="102"/>
      <c r="Q27" s="102"/>
      <c r="R27" s="102"/>
      <c r="S27" s="102"/>
      <c r="T27" s="102"/>
      <c r="U27" s="102"/>
      <c r="V27" s="102"/>
      <c r="W27" s="102"/>
      <c r="X27" s="102"/>
      <c r="Z27" s="102">
        <f>Z$10</f>
        <v>0</v>
      </c>
      <c r="AA27" s="102">
        <f t="shared" ref="AA27:AI27" si="30">AA$10</f>
        <v>0</v>
      </c>
      <c r="AB27" s="102">
        <f t="shared" si="30"/>
        <v>0</v>
      </c>
      <c r="AC27" s="102">
        <f t="shared" si="30"/>
        <v>1</v>
      </c>
      <c r="AD27" s="102">
        <f t="shared" si="30"/>
        <v>1.2</v>
      </c>
      <c r="AE27" s="102">
        <f t="shared" si="30"/>
        <v>1.2</v>
      </c>
      <c r="AF27" s="102">
        <f t="shared" si="30"/>
        <v>1.2</v>
      </c>
      <c r="AG27" s="102">
        <f t="shared" si="30"/>
        <v>1.2</v>
      </c>
      <c r="AH27" s="102">
        <f t="shared" si="30"/>
        <v>1.2</v>
      </c>
      <c r="AI27" s="102">
        <f t="shared" si="30"/>
        <v>1.2</v>
      </c>
      <c r="AK27" s="102"/>
      <c r="AL27" s="102"/>
      <c r="AM27" s="102"/>
      <c r="AN27" s="102">
        <v>500</v>
      </c>
      <c r="AO27" s="102">
        <v>500</v>
      </c>
      <c r="AP27" s="102"/>
      <c r="AQ27" s="102"/>
      <c r="AR27" s="102"/>
      <c r="AS27" s="102"/>
      <c r="AT27" s="102"/>
      <c r="AV27" s="102"/>
      <c r="AW27" s="102"/>
      <c r="AX27" s="102"/>
      <c r="AY27" s="102"/>
      <c r="AZ27" s="102"/>
      <c r="BA27" s="102"/>
      <c r="BB27" s="102"/>
      <c r="BC27" s="102"/>
      <c r="BD27" s="102"/>
      <c r="BE27" s="102"/>
      <c r="BG27" s="102"/>
      <c r="BH27" s="102"/>
      <c r="BI27" s="102"/>
      <c r="BJ27" s="102"/>
      <c r="BK27" s="102"/>
      <c r="BL27" s="102"/>
      <c r="BM27" s="102"/>
      <c r="BN27" s="102"/>
      <c r="BO27" s="102"/>
      <c r="BP27" s="102"/>
      <c r="BR27" s="102"/>
      <c r="BS27" s="102"/>
      <c r="BT27" s="102"/>
      <c r="BU27" s="102"/>
      <c r="BV27" s="102"/>
      <c r="BW27" s="102"/>
      <c r="BX27" s="102"/>
      <c r="BY27" s="102"/>
      <c r="BZ27" s="102"/>
      <c r="CA27" s="102"/>
      <c r="CC27" s="102"/>
      <c r="CD27" s="102"/>
      <c r="CE27" s="102"/>
      <c r="CF27" s="102"/>
      <c r="CG27" s="102"/>
      <c r="CH27" s="102"/>
      <c r="CI27" s="102"/>
      <c r="CJ27" s="102"/>
      <c r="CK27" s="102"/>
      <c r="CL27" s="102"/>
      <c r="CN27" s="102"/>
      <c r="CO27" s="102"/>
      <c r="CP27" s="102"/>
      <c r="CQ27" s="102"/>
      <c r="CR27" s="102"/>
      <c r="CS27" s="102"/>
      <c r="CT27" s="102"/>
      <c r="CU27" s="102"/>
      <c r="CV27" s="102"/>
      <c r="CW27" s="102"/>
    </row>
    <row r="28" spans="2:102">
      <c r="B28" s="101" t="s">
        <v>107</v>
      </c>
      <c r="C28" s="102"/>
      <c r="D28" s="102"/>
      <c r="E28" s="102">
        <v>82</v>
      </c>
      <c r="F28" s="102">
        <v>37.4</v>
      </c>
      <c r="G28" s="102">
        <v>33.78</v>
      </c>
      <c r="H28" s="102">
        <f>28.54*1.04</f>
        <v>29.6816</v>
      </c>
      <c r="I28" s="102"/>
      <c r="J28" s="102"/>
      <c r="K28" s="102"/>
      <c r="L28" s="102"/>
      <c r="M28" s="102"/>
      <c r="O28" s="102"/>
      <c r="P28" s="102"/>
      <c r="Q28" s="102"/>
      <c r="R28" s="102"/>
      <c r="S28" s="102"/>
      <c r="T28" s="102"/>
      <c r="U28" s="102"/>
      <c r="V28" s="102"/>
      <c r="W28" s="102"/>
      <c r="X28" s="102"/>
      <c r="Z28" s="102"/>
      <c r="AA28" s="102">
        <v>0</v>
      </c>
      <c r="AB28" s="102">
        <v>0</v>
      </c>
      <c r="AC28" s="102">
        <v>0.3</v>
      </c>
      <c r="AD28" s="102">
        <v>0.3</v>
      </c>
      <c r="AE28" s="102">
        <v>0.3</v>
      </c>
      <c r="AF28" s="102">
        <v>0.3</v>
      </c>
      <c r="AG28" s="102">
        <v>0.3</v>
      </c>
      <c r="AH28" s="102">
        <v>0.3</v>
      </c>
      <c r="AI28" s="102">
        <v>0.3</v>
      </c>
      <c r="AK28" s="102"/>
      <c r="AL28" s="102"/>
      <c r="AM28" s="102"/>
      <c r="AN28" s="102">
        <v>500</v>
      </c>
      <c r="AO28" s="102">
        <v>400</v>
      </c>
      <c r="AP28" s="102"/>
      <c r="AQ28" s="102"/>
      <c r="AR28" s="102"/>
      <c r="AS28" s="102"/>
      <c r="AT28" s="102"/>
      <c r="AV28" s="102"/>
      <c r="AW28" s="102"/>
      <c r="AX28" s="102"/>
      <c r="AY28" s="102"/>
      <c r="AZ28" s="102"/>
      <c r="BA28" s="102"/>
      <c r="BB28" s="102"/>
      <c r="BC28" s="102"/>
      <c r="BD28" s="102"/>
      <c r="BE28" s="102"/>
      <c r="BG28" s="102"/>
      <c r="BH28" s="102"/>
      <c r="BI28" s="102"/>
      <c r="BJ28" s="102"/>
      <c r="BK28" s="102"/>
      <c r="BL28" s="102"/>
      <c r="BM28" s="102"/>
      <c r="BN28" s="102"/>
      <c r="BO28" s="102"/>
      <c r="BP28" s="102"/>
      <c r="BR28" s="102"/>
      <c r="BS28" s="102"/>
      <c r="BT28" s="102"/>
      <c r="BU28" s="102"/>
      <c r="BV28" s="102"/>
      <c r="BW28" s="102"/>
      <c r="BX28" s="102"/>
      <c r="BY28" s="102"/>
      <c r="BZ28" s="102"/>
      <c r="CA28" s="102"/>
      <c r="CC28" s="102"/>
      <c r="CD28" s="102"/>
      <c r="CE28" s="102"/>
      <c r="CF28" s="102"/>
      <c r="CG28" s="102"/>
      <c r="CH28" s="102"/>
      <c r="CI28" s="102"/>
      <c r="CJ28" s="102"/>
      <c r="CK28" s="102"/>
      <c r="CL28" s="102"/>
      <c r="CN28" s="102"/>
      <c r="CO28" s="102"/>
      <c r="CP28" s="102"/>
      <c r="CQ28" s="102"/>
      <c r="CR28" s="102"/>
      <c r="CS28" s="102"/>
      <c r="CT28" s="102"/>
      <c r="CU28" s="102"/>
      <c r="CV28" s="102"/>
      <c r="CW28" s="102"/>
    </row>
    <row r="29" spans="2:102" ht="3.75" customHeight="1">
      <c r="B29" s="103"/>
      <c r="C29" s="14"/>
      <c r="D29" s="14"/>
      <c r="E29" s="106"/>
      <c r="F29" s="106"/>
      <c r="G29" s="106"/>
      <c r="H29" s="106"/>
      <c r="I29" s="106"/>
      <c r="J29" s="106"/>
      <c r="K29" s="106"/>
      <c r="L29" s="106"/>
      <c r="M29" s="106"/>
      <c r="O29" s="14"/>
      <c r="P29" s="106"/>
      <c r="Q29" s="106"/>
      <c r="R29" s="106"/>
      <c r="S29" s="106"/>
      <c r="T29" s="106"/>
      <c r="U29" s="106"/>
      <c r="V29" s="106"/>
      <c r="W29" s="106"/>
      <c r="X29" s="106"/>
      <c r="Z29" s="106"/>
      <c r="AA29" s="106"/>
      <c r="AB29" s="106"/>
      <c r="AC29" s="106"/>
      <c r="AD29" s="106"/>
      <c r="AE29" s="106"/>
      <c r="AF29" s="106"/>
      <c r="AG29" s="106"/>
      <c r="AH29" s="106"/>
      <c r="AI29" s="106"/>
      <c r="AK29" s="106"/>
      <c r="AL29" s="106"/>
      <c r="AM29" s="106"/>
      <c r="AN29" s="106"/>
      <c r="AO29" s="106"/>
      <c r="AP29" s="106"/>
      <c r="AQ29" s="106"/>
      <c r="AR29" s="106"/>
      <c r="AS29" s="106"/>
      <c r="AT29" s="106"/>
      <c r="AV29" s="106"/>
      <c r="AW29" s="106"/>
      <c r="AX29" s="106"/>
      <c r="AY29" s="106"/>
      <c r="AZ29" s="106"/>
      <c r="BA29" s="106"/>
      <c r="BB29" s="106"/>
      <c r="BC29" s="106"/>
      <c r="BD29" s="106"/>
      <c r="BE29" s="106"/>
      <c r="BG29" s="106"/>
      <c r="BH29" s="106"/>
      <c r="BI29" s="106"/>
      <c r="BJ29" s="106"/>
      <c r="BK29" s="106"/>
      <c r="BL29" s="106"/>
      <c r="BM29" s="106"/>
      <c r="BN29" s="106"/>
      <c r="BO29" s="106"/>
      <c r="BP29" s="106"/>
      <c r="BR29" s="106"/>
      <c r="BS29" s="106"/>
      <c r="BT29" s="106"/>
      <c r="BU29" s="106"/>
      <c r="BV29" s="106"/>
      <c r="BW29" s="106"/>
      <c r="BX29" s="106"/>
      <c r="BY29" s="106"/>
      <c r="BZ29" s="106"/>
      <c r="CA29" s="106"/>
      <c r="CC29" s="106"/>
      <c r="CD29" s="106"/>
      <c r="CE29" s="106"/>
      <c r="CF29" s="106"/>
      <c r="CG29" s="106"/>
      <c r="CH29" s="106"/>
      <c r="CI29" s="106"/>
      <c r="CJ29" s="106"/>
      <c r="CK29" s="106"/>
      <c r="CL29" s="106"/>
      <c r="CN29" s="106"/>
      <c r="CO29" s="106"/>
      <c r="CP29" s="106"/>
      <c r="CQ29" s="106"/>
      <c r="CR29" s="106"/>
      <c r="CS29" s="106"/>
      <c r="CT29" s="106"/>
      <c r="CU29" s="106"/>
      <c r="CV29" s="106"/>
      <c r="CW29" s="106"/>
    </row>
    <row r="30" spans="2:102" s="100" customFormat="1">
      <c r="B30" s="104" t="s">
        <v>673</v>
      </c>
      <c r="C30" s="105"/>
      <c r="D30" s="105"/>
      <c r="E30" s="105">
        <v>230</v>
      </c>
      <c r="F30" s="105">
        <v>890</v>
      </c>
      <c r="G30" s="105">
        <v>1020</v>
      </c>
      <c r="H30" s="105">
        <v>1020</v>
      </c>
      <c r="I30" s="105"/>
      <c r="J30" s="105"/>
      <c r="K30" s="105"/>
      <c r="L30" s="105"/>
      <c r="M30" s="105"/>
      <c r="O30" s="105"/>
      <c r="P30" s="105"/>
      <c r="Q30" s="105"/>
      <c r="R30" s="105"/>
      <c r="S30" s="105"/>
      <c r="T30" s="105"/>
      <c r="U30" s="105"/>
      <c r="V30" s="105"/>
      <c r="W30" s="105"/>
      <c r="X30" s="105"/>
      <c r="Z30" s="105"/>
      <c r="AA30" s="105"/>
      <c r="AB30" s="105"/>
      <c r="AC30" s="105"/>
      <c r="AD30" s="105"/>
      <c r="AE30" s="105"/>
      <c r="AF30" s="105"/>
      <c r="AG30" s="105"/>
      <c r="AH30" s="105"/>
      <c r="AI30" s="105"/>
      <c r="AK30" s="105"/>
      <c r="AL30" s="105"/>
      <c r="AM30" s="105"/>
      <c r="AN30" s="105"/>
      <c r="AO30" s="105"/>
      <c r="AP30" s="105"/>
      <c r="AQ30" s="105"/>
      <c r="AR30" s="105"/>
      <c r="AS30" s="105"/>
      <c r="AT30" s="105"/>
      <c r="AV30" s="105"/>
      <c r="AW30" s="105"/>
      <c r="AX30" s="105"/>
      <c r="AY30" s="105"/>
      <c r="AZ30" s="105"/>
      <c r="BA30" s="105"/>
      <c r="BB30" s="105"/>
      <c r="BC30" s="105"/>
      <c r="BD30" s="105"/>
      <c r="BE30" s="105"/>
      <c r="BG30" s="105"/>
      <c r="BH30" s="105"/>
      <c r="BI30" s="105"/>
      <c r="BJ30" s="105"/>
      <c r="BK30" s="105"/>
      <c r="BL30" s="105"/>
      <c r="BM30" s="105"/>
      <c r="BN30" s="105"/>
      <c r="BO30" s="105"/>
      <c r="BP30" s="105"/>
      <c r="BR30" s="105"/>
      <c r="BS30" s="105"/>
      <c r="BT30" s="105"/>
      <c r="BU30" s="105"/>
      <c r="BV30" s="105"/>
      <c r="BW30" s="105"/>
      <c r="BX30" s="105"/>
      <c r="BY30" s="105"/>
      <c r="BZ30" s="105"/>
      <c r="CA30" s="105"/>
      <c r="CC30" s="105"/>
      <c r="CD30" s="105"/>
      <c r="CE30" s="105"/>
      <c r="CF30" s="105"/>
      <c r="CG30" s="105"/>
      <c r="CH30" s="105"/>
      <c r="CI30" s="105"/>
      <c r="CJ30" s="105"/>
      <c r="CK30" s="105"/>
      <c r="CL30" s="105"/>
      <c r="CN30" s="105"/>
      <c r="CO30" s="105"/>
      <c r="CP30" s="105"/>
      <c r="CQ30" s="105"/>
      <c r="CR30" s="105"/>
      <c r="CS30" s="105"/>
      <c r="CT30" s="105"/>
      <c r="CU30" s="105"/>
      <c r="CV30" s="105"/>
      <c r="CW30" s="105"/>
      <c r="CX30" s="8"/>
    </row>
    <row r="31" spans="2:102">
      <c r="B31" s="101" t="s">
        <v>521</v>
      </c>
      <c r="C31" s="102" t="str">
        <f>IF(C$30 = "", "", C23)</f>
        <v/>
      </c>
      <c r="D31" s="102" t="str">
        <f t="shared" ref="D31:F31" si="31">IF(D$30 = "", "", D23)</f>
        <v/>
      </c>
      <c r="E31" s="102">
        <f t="shared" si="31"/>
        <v>21.42</v>
      </c>
      <c r="F31" s="102">
        <f t="shared" si="31"/>
        <v>18.5</v>
      </c>
      <c r="G31" s="102">
        <f>IF(G$30 = "", "", G27)</f>
        <v>17.05</v>
      </c>
      <c r="H31" s="102">
        <f>IF(H$30 = "", "", H27)</f>
        <v>15.400000000000002</v>
      </c>
      <c r="I31" s="102"/>
      <c r="J31" s="102"/>
      <c r="K31" s="102"/>
      <c r="L31" s="102"/>
      <c r="M31" s="102"/>
      <c r="O31" s="102"/>
      <c r="P31" s="102"/>
      <c r="Q31" s="102"/>
      <c r="R31" s="102"/>
      <c r="S31" s="102"/>
      <c r="T31" s="102"/>
      <c r="U31" s="102"/>
      <c r="V31" s="102"/>
      <c r="W31" s="102"/>
      <c r="X31" s="102"/>
      <c r="Z31" s="102">
        <f>Z$10</f>
        <v>0</v>
      </c>
      <c r="AA31" s="102">
        <f t="shared" ref="AA31:AI31" si="32">AA$10</f>
        <v>0</v>
      </c>
      <c r="AB31" s="102">
        <f t="shared" si="32"/>
        <v>0</v>
      </c>
      <c r="AC31" s="102">
        <f t="shared" si="32"/>
        <v>1</v>
      </c>
      <c r="AD31" s="102">
        <f t="shared" si="32"/>
        <v>1.2</v>
      </c>
      <c r="AE31" s="102">
        <f t="shared" si="32"/>
        <v>1.2</v>
      </c>
      <c r="AF31" s="102">
        <f t="shared" si="32"/>
        <v>1.2</v>
      </c>
      <c r="AG31" s="102">
        <f t="shared" si="32"/>
        <v>1.2</v>
      </c>
      <c r="AH31" s="102">
        <f t="shared" si="32"/>
        <v>1.2</v>
      </c>
      <c r="AI31" s="102">
        <f t="shared" si="32"/>
        <v>1.2</v>
      </c>
      <c r="AK31" s="102"/>
      <c r="AL31" s="102"/>
      <c r="AM31" s="102"/>
      <c r="AN31" s="102"/>
      <c r="AO31" s="102"/>
      <c r="AP31" s="102"/>
      <c r="AQ31" s="102"/>
      <c r="AR31" s="102"/>
      <c r="AS31" s="102"/>
      <c r="AT31" s="102"/>
      <c r="AV31" s="102"/>
      <c r="AW31" s="102"/>
      <c r="AX31" s="102"/>
      <c r="AY31" s="102"/>
      <c r="AZ31" s="102"/>
      <c r="BA31" s="102"/>
      <c r="BB31" s="102"/>
      <c r="BC31" s="102"/>
      <c r="BD31" s="102"/>
      <c r="BE31" s="102"/>
      <c r="BG31" s="102"/>
      <c r="BH31" s="102"/>
      <c r="BI31" s="102"/>
      <c r="BJ31" s="102"/>
      <c r="BK31" s="102"/>
      <c r="BL31" s="102"/>
      <c r="BM31" s="102"/>
      <c r="BN31" s="102"/>
      <c r="BO31" s="102"/>
      <c r="BP31" s="102"/>
      <c r="BR31" s="102"/>
      <c r="BS31" s="102"/>
      <c r="BT31" s="102"/>
      <c r="BU31" s="102"/>
      <c r="BV31" s="102"/>
      <c r="BW31" s="102"/>
      <c r="BX31" s="102"/>
      <c r="BY31" s="102"/>
      <c r="BZ31" s="102"/>
      <c r="CA31" s="102"/>
      <c r="CC31" s="102"/>
      <c r="CD31" s="102"/>
      <c r="CE31" s="102"/>
      <c r="CF31" s="102"/>
      <c r="CG31" s="102"/>
      <c r="CH31" s="102"/>
      <c r="CI31" s="102"/>
      <c r="CJ31" s="102"/>
      <c r="CK31" s="102"/>
      <c r="CL31" s="102"/>
      <c r="CN31" s="102"/>
      <c r="CO31" s="102"/>
      <c r="CP31" s="102"/>
      <c r="CQ31" s="102"/>
      <c r="CR31" s="102"/>
      <c r="CS31" s="102"/>
      <c r="CT31" s="102"/>
      <c r="CU31" s="102"/>
      <c r="CV31" s="102"/>
      <c r="CW31" s="102"/>
    </row>
    <row r="32" spans="2:102">
      <c r="B32" s="101" t="s">
        <v>107</v>
      </c>
      <c r="C32" s="102"/>
      <c r="D32" s="102"/>
      <c r="E32" s="102">
        <v>73</v>
      </c>
      <c r="F32" s="102">
        <f>F28</f>
        <v>37.4</v>
      </c>
      <c r="G32" s="102">
        <f t="shared" ref="G32:H32" si="33">G28</f>
        <v>33.78</v>
      </c>
      <c r="H32" s="102">
        <f t="shared" si="33"/>
        <v>29.6816</v>
      </c>
      <c r="I32" s="102"/>
      <c r="J32" s="102"/>
      <c r="K32" s="102"/>
      <c r="L32" s="102"/>
      <c r="M32" s="102"/>
      <c r="O32" s="102"/>
      <c r="P32" s="102"/>
      <c r="Q32" s="102"/>
      <c r="R32" s="102"/>
      <c r="S32" s="102"/>
      <c r="T32" s="102"/>
      <c r="U32" s="102"/>
      <c r="V32" s="102"/>
      <c r="W32" s="102"/>
      <c r="X32" s="102"/>
      <c r="Z32" s="102">
        <f t="shared" ref="Z32:AI32" si="34">Z11</f>
        <v>0</v>
      </c>
      <c r="AA32" s="102">
        <f t="shared" si="34"/>
        <v>0</v>
      </c>
      <c r="AB32" s="102">
        <f t="shared" si="34"/>
        <v>0</v>
      </c>
      <c r="AC32" s="102">
        <f t="shared" si="34"/>
        <v>0.26</v>
      </c>
      <c r="AD32" s="102">
        <f t="shared" si="34"/>
        <v>0.26400000000000001</v>
      </c>
      <c r="AE32" s="102">
        <f t="shared" si="34"/>
        <v>0.26400000000000001</v>
      </c>
      <c r="AF32" s="102">
        <f t="shared" si="34"/>
        <v>0.26400000000000001</v>
      </c>
      <c r="AG32" s="102">
        <f t="shared" si="34"/>
        <v>0.26400000000000001</v>
      </c>
      <c r="AH32" s="102">
        <f t="shared" si="34"/>
        <v>0.26400000000000001</v>
      </c>
      <c r="AI32" s="102">
        <f t="shared" si="34"/>
        <v>0.26400000000000001</v>
      </c>
      <c r="AK32" s="102"/>
      <c r="AL32" s="102"/>
      <c r="AM32" s="102"/>
      <c r="AN32" s="102"/>
      <c r="AO32" s="102"/>
      <c r="AP32" s="102"/>
      <c r="AQ32" s="102"/>
      <c r="AR32" s="102"/>
      <c r="AS32" s="102"/>
      <c r="AT32" s="102"/>
      <c r="AV32" s="102"/>
      <c r="AW32" s="102"/>
      <c r="AX32" s="102"/>
      <c r="AY32" s="102"/>
      <c r="AZ32" s="102"/>
      <c r="BA32" s="102"/>
      <c r="BB32" s="102"/>
      <c r="BC32" s="102"/>
      <c r="BD32" s="102"/>
      <c r="BE32" s="102"/>
      <c r="BG32" s="102"/>
      <c r="BH32" s="102"/>
      <c r="BI32" s="102"/>
      <c r="BJ32" s="102"/>
      <c r="BK32" s="102"/>
      <c r="BL32" s="102"/>
      <c r="BM32" s="102"/>
      <c r="BN32" s="102"/>
      <c r="BO32" s="102"/>
      <c r="BP32" s="102"/>
      <c r="BR32" s="102"/>
      <c r="BS32" s="102"/>
      <c r="BT32" s="102"/>
      <c r="BU32" s="102"/>
      <c r="BV32" s="102"/>
      <c r="BW32" s="102"/>
      <c r="BX32" s="102"/>
      <c r="BY32" s="102"/>
      <c r="BZ32" s="102"/>
      <c r="CA32" s="102"/>
      <c r="CC32" s="102"/>
      <c r="CD32" s="102"/>
      <c r="CE32" s="102"/>
      <c r="CF32" s="102"/>
      <c r="CG32" s="102"/>
      <c r="CH32" s="102"/>
      <c r="CI32" s="102"/>
      <c r="CJ32" s="102"/>
      <c r="CK32" s="102"/>
      <c r="CL32" s="102"/>
      <c r="CN32" s="102"/>
      <c r="CO32" s="102"/>
      <c r="CP32" s="102"/>
      <c r="CQ32" s="102"/>
      <c r="CR32" s="102"/>
      <c r="CS32" s="102"/>
      <c r="CT32" s="102"/>
      <c r="CU32" s="102"/>
      <c r="CV32" s="102"/>
      <c r="CW32" s="102"/>
    </row>
    <row r="33" spans="2:102" ht="3.75" customHeight="1">
      <c r="B33" s="107"/>
      <c r="C33" s="14"/>
      <c r="D33" s="14"/>
      <c r="E33" s="14"/>
      <c r="F33" s="14"/>
      <c r="G33" s="14"/>
      <c r="H33" s="14"/>
      <c r="I33" s="14"/>
      <c r="J33" s="14"/>
      <c r="K33" s="14"/>
      <c r="L33" s="14"/>
      <c r="M33" s="14"/>
      <c r="O33" s="14"/>
      <c r="P33" s="14"/>
      <c r="Q33" s="14"/>
      <c r="R33" s="14"/>
      <c r="S33" s="14"/>
      <c r="T33" s="14"/>
      <c r="U33" s="14"/>
      <c r="V33" s="14"/>
      <c r="W33" s="14"/>
      <c r="X33" s="14"/>
      <c r="Z33" s="14"/>
      <c r="AA33" s="14"/>
      <c r="AB33" s="14"/>
      <c r="AC33" s="14"/>
      <c r="AD33" s="14"/>
      <c r="AE33" s="14"/>
      <c r="AF33" s="14"/>
      <c r="AG33" s="14"/>
      <c r="AH33" s="14"/>
      <c r="AI33" s="14"/>
      <c r="AK33" s="14"/>
      <c r="AL33" s="14"/>
      <c r="AM33" s="14"/>
      <c r="AN33" s="14"/>
      <c r="AO33" s="14"/>
      <c r="AP33" s="14"/>
      <c r="AQ33" s="14"/>
      <c r="AR33" s="14"/>
      <c r="AS33" s="14"/>
      <c r="AT33" s="14"/>
      <c r="AV33" s="14"/>
      <c r="AW33" s="14"/>
      <c r="AX33" s="14"/>
      <c r="AY33" s="14"/>
      <c r="AZ33" s="14"/>
      <c r="BA33" s="14"/>
      <c r="BB33" s="14"/>
      <c r="BC33" s="14"/>
      <c r="BD33" s="14"/>
      <c r="BE33" s="14"/>
      <c r="BG33" s="14"/>
      <c r="BH33" s="14"/>
      <c r="BI33" s="14"/>
      <c r="BJ33" s="14"/>
      <c r="BK33" s="14"/>
      <c r="BL33" s="14"/>
      <c r="BM33" s="14"/>
      <c r="BN33" s="14"/>
      <c r="BO33" s="14"/>
      <c r="BP33" s="14"/>
      <c r="BR33" s="14"/>
      <c r="BS33" s="14"/>
      <c r="BT33" s="14"/>
      <c r="BU33" s="14"/>
      <c r="BV33" s="14"/>
      <c r="BW33" s="14"/>
      <c r="BX33" s="14"/>
      <c r="BY33" s="14"/>
      <c r="BZ33" s="14"/>
      <c r="CA33" s="14"/>
      <c r="CC33" s="14"/>
      <c r="CD33" s="14"/>
      <c r="CE33" s="14"/>
      <c r="CF33" s="14"/>
      <c r="CG33" s="14"/>
      <c r="CH33" s="14"/>
      <c r="CI33" s="14"/>
      <c r="CJ33" s="14"/>
      <c r="CK33" s="14"/>
      <c r="CL33" s="14"/>
      <c r="CN33" s="14"/>
      <c r="CO33" s="14"/>
      <c r="CP33" s="14"/>
      <c r="CQ33" s="14"/>
      <c r="CR33" s="14"/>
      <c r="CS33" s="14"/>
      <c r="CT33" s="14"/>
      <c r="CU33" s="14"/>
      <c r="CV33" s="14"/>
      <c r="CW33" s="14"/>
    </row>
    <row r="34" spans="2:102" s="100" customFormat="1">
      <c r="B34" s="104"/>
      <c r="C34" s="105"/>
      <c r="D34" s="105"/>
      <c r="E34" s="105"/>
      <c r="F34" s="105"/>
      <c r="G34" s="105"/>
      <c r="H34" s="105"/>
      <c r="I34" s="105"/>
      <c r="J34" s="105"/>
      <c r="K34" s="105"/>
      <c r="L34" s="105"/>
      <c r="M34" s="105"/>
      <c r="O34" s="105"/>
      <c r="P34" s="105"/>
      <c r="Q34" s="105"/>
      <c r="R34" s="105"/>
      <c r="S34" s="105"/>
      <c r="T34" s="105"/>
      <c r="U34" s="105"/>
      <c r="V34" s="105"/>
      <c r="W34" s="105"/>
      <c r="X34" s="105"/>
      <c r="Z34" s="105"/>
      <c r="AA34" s="105"/>
      <c r="AB34" s="105"/>
      <c r="AC34" s="105"/>
      <c r="AD34" s="105"/>
      <c r="AE34" s="105"/>
      <c r="AF34" s="105"/>
      <c r="AG34" s="105"/>
      <c r="AH34" s="105"/>
      <c r="AI34" s="105"/>
      <c r="AK34" s="105"/>
      <c r="AL34" s="105"/>
      <c r="AM34" s="105"/>
      <c r="AN34" s="105"/>
      <c r="AO34" s="105"/>
      <c r="AP34" s="105"/>
      <c r="AQ34" s="105"/>
      <c r="AR34" s="105"/>
      <c r="AS34" s="105"/>
      <c r="AT34" s="105"/>
      <c r="AV34" s="105"/>
      <c r="AW34" s="105"/>
      <c r="AX34" s="105"/>
      <c r="AY34" s="105"/>
      <c r="AZ34" s="105"/>
      <c r="BA34" s="105"/>
      <c r="BB34" s="105"/>
      <c r="BC34" s="105"/>
      <c r="BD34" s="105"/>
      <c r="BE34" s="105"/>
      <c r="BG34" s="105"/>
      <c r="BH34" s="105"/>
      <c r="BI34" s="105"/>
      <c r="BJ34" s="105"/>
      <c r="BK34" s="105"/>
      <c r="BL34" s="105"/>
      <c r="BM34" s="105"/>
      <c r="BN34" s="105"/>
      <c r="BO34" s="105"/>
      <c r="BP34" s="105"/>
      <c r="BR34" s="105"/>
      <c r="BS34" s="105"/>
      <c r="BT34" s="105"/>
      <c r="BU34" s="105"/>
      <c r="BV34" s="105"/>
      <c r="BW34" s="105"/>
      <c r="BX34" s="105"/>
      <c r="BY34" s="105"/>
      <c r="BZ34" s="105"/>
      <c r="CA34" s="105"/>
      <c r="CC34" s="105"/>
      <c r="CD34" s="105"/>
      <c r="CE34" s="105"/>
      <c r="CF34" s="105"/>
      <c r="CG34" s="105"/>
      <c r="CH34" s="105"/>
      <c r="CI34" s="105"/>
      <c r="CJ34" s="105"/>
      <c r="CK34" s="105"/>
      <c r="CL34" s="105"/>
      <c r="CN34" s="105"/>
      <c r="CO34" s="105"/>
      <c r="CP34" s="105"/>
      <c r="CQ34" s="105"/>
      <c r="CR34" s="105"/>
      <c r="CS34" s="105"/>
      <c r="CT34" s="105"/>
      <c r="CU34" s="105"/>
      <c r="CV34" s="105"/>
      <c r="CW34" s="105"/>
      <c r="CX34" s="8"/>
    </row>
    <row r="35" spans="2:102">
      <c r="B35" s="19"/>
      <c r="C35" s="102"/>
      <c r="D35" s="102"/>
      <c r="E35" s="102"/>
      <c r="F35" s="102"/>
      <c r="G35" s="102"/>
      <c r="H35" s="102"/>
      <c r="I35" s="102"/>
      <c r="J35" s="102"/>
      <c r="K35" s="102"/>
      <c r="L35" s="102"/>
      <c r="M35" s="102"/>
      <c r="O35" s="102"/>
      <c r="P35" s="102"/>
      <c r="Q35" s="102"/>
      <c r="R35" s="102"/>
      <c r="S35" s="102"/>
      <c r="T35" s="102"/>
      <c r="U35" s="102"/>
      <c r="V35" s="102"/>
      <c r="W35" s="102"/>
      <c r="X35" s="102"/>
      <c r="Z35" s="102"/>
      <c r="AA35" s="102"/>
      <c r="AB35" s="102"/>
      <c r="AC35" s="102"/>
      <c r="AD35" s="102"/>
      <c r="AE35" s="102"/>
      <c r="AF35" s="102"/>
      <c r="AG35" s="102"/>
      <c r="AH35" s="102"/>
      <c r="AI35" s="102"/>
      <c r="AK35" s="102"/>
      <c r="AL35" s="102"/>
      <c r="AM35" s="102"/>
      <c r="AN35" s="102"/>
      <c r="AO35" s="102"/>
      <c r="AP35" s="102"/>
      <c r="AQ35" s="102"/>
      <c r="AR35" s="102"/>
      <c r="AS35" s="102"/>
      <c r="AT35" s="102"/>
      <c r="AV35" s="102"/>
      <c r="AW35" s="102"/>
      <c r="AX35" s="102"/>
      <c r="AY35" s="102"/>
      <c r="AZ35" s="102"/>
      <c r="BA35" s="102"/>
      <c r="BB35" s="102"/>
      <c r="BC35" s="102"/>
      <c r="BD35" s="102"/>
      <c r="BE35" s="102"/>
      <c r="BG35" s="102"/>
      <c r="BH35" s="102"/>
      <c r="BI35" s="102"/>
      <c r="BJ35" s="102"/>
      <c r="BK35" s="102"/>
      <c r="BL35" s="102"/>
      <c r="BM35" s="102"/>
      <c r="BN35" s="102"/>
      <c r="BO35" s="102"/>
      <c r="BP35" s="102"/>
      <c r="BR35" s="102"/>
      <c r="BS35" s="102"/>
      <c r="BT35" s="102"/>
      <c r="BU35" s="102"/>
      <c r="BV35" s="102"/>
      <c r="BW35" s="102"/>
      <c r="BX35" s="102"/>
      <c r="BY35" s="102"/>
      <c r="BZ35" s="102"/>
      <c r="CA35" s="102"/>
      <c r="CC35" s="102"/>
      <c r="CD35" s="102"/>
      <c r="CE35" s="102"/>
      <c r="CF35" s="102"/>
      <c r="CG35" s="102"/>
      <c r="CH35" s="102"/>
      <c r="CI35" s="102"/>
      <c r="CJ35" s="102"/>
      <c r="CK35" s="102"/>
      <c r="CL35" s="102"/>
      <c r="CN35" s="102"/>
      <c r="CO35" s="102"/>
      <c r="CP35" s="102"/>
      <c r="CQ35" s="102"/>
      <c r="CR35" s="102"/>
      <c r="CS35" s="102"/>
      <c r="CT35" s="102"/>
      <c r="CU35" s="102"/>
      <c r="CV35" s="102"/>
      <c r="CW35" s="102"/>
    </row>
    <row r="36" spans="2:102">
      <c r="B36" s="19"/>
      <c r="C36" s="102"/>
      <c r="D36" s="102"/>
      <c r="E36" s="102"/>
      <c r="F36" s="102"/>
      <c r="G36" s="102"/>
      <c r="H36" s="102"/>
      <c r="I36" s="102"/>
      <c r="J36" s="102"/>
      <c r="K36" s="102"/>
      <c r="L36" s="102"/>
      <c r="M36" s="102"/>
      <c r="O36" s="102"/>
      <c r="P36" s="102"/>
      <c r="Q36" s="102"/>
      <c r="R36" s="102"/>
      <c r="S36" s="102"/>
      <c r="T36" s="102"/>
      <c r="U36" s="102"/>
      <c r="V36" s="102"/>
      <c r="W36" s="102"/>
      <c r="X36" s="102"/>
      <c r="Z36" s="102"/>
      <c r="AA36" s="102"/>
      <c r="AB36" s="102"/>
      <c r="AC36" s="102"/>
      <c r="AD36" s="102"/>
      <c r="AE36" s="102"/>
      <c r="AF36" s="102"/>
      <c r="AG36" s="102"/>
      <c r="AH36" s="102"/>
      <c r="AI36" s="102"/>
      <c r="AK36" s="102"/>
      <c r="AL36" s="102"/>
      <c r="AM36" s="102"/>
      <c r="AN36" s="102"/>
      <c r="AO36" s="102"/>
      <c r="AP36" s="102"/>
      <c r="AQ36" s="102"/>
      <c r="AR36" s="102"/>
      <c r="AS36" s="102"/>
      <c r="AT36" s="102"/>
      <c r="AV36" s="102"/>
      <c r="AW36" s="102"/>
      <c r="AX36" s="102"/>
      <c r="AY36" s="102"/>
      <c r="AZ36" s="102"/>
      <c r="BA36" s="102"/>
      <c r="BB36" s="102"/>
      <c r="BC36" s="102"/>
      <c r="BD36" s="102"/>
      <c r="BE36" s="102"/>
      <c r="BG36" s="102"/>
      <c r="BH36" s="102"/>
      <c r="BI36" s="102"/>
      <c r="BJ36" s="102"/>
      <c r="BK36" s="102"/>
      <c r="BL36" s="102"/>
      <c r="BM36" s="102"/>
      <c r="BN36" s="102"/>
      <c r="BO36" s="102"/>
      <c r="BP36" s="102"/>
      <c r="BR36" s="102"/>
      <c r="BS36" s="102"/>
      <c r="BT36" s="102"/>
      <c r="BU36" s="102"/>
      <c r="BV36" s="102"/>
      <c r="BW36" s="102"/>
      <c r="BX36" s="102"/>
      <c r="BY36" s="102"/>
      <c r="BZ36" s="102"/>
      <c r="CA36" s="102"/>
      <c r="CC36" s="102"/>
      <c r="CD36" s="102"/>
      <c r="CE36" s="102"/>
      <c r="CF36" s="102"/>
      <c r="CG36" s="102"/>
      <c r="CH36" s="102"/>
      <c r="CI36" s="102"/>
      <c r="CJ36" s="102"/>
      <c r="CK36" s="102"/>
      <c r="CL36" s="102"/>
      <c r="CN36" s="102"/>
      <c r="CO36" s="102"/>
      <c r="CP36" s="102"/>
      <c r="CQ36" s="102"/>
      <c r="CR36" s="102"/>
      <c r="CS36" s="102"/>
      <c r="CT36" s="102"/>
      <c r="CU36" s="102"/>
      <c r="CV36" s="102"/>
      <c r="CW36" s="102"/>
    </row>
    <row r="37" spans="2:102" ht="3.75" customHeight="1">
      <c r="C37" s="1"/>
      <c r="D37" s="1"/>
      <c r="E37" s="1"/>
      <c r="F37" s="1"/>
      <c r="G37" s="1"/>
      <c r="H37" s="1"/>
      <c r="I37" s="1"/>
      <c r="J37" s="1"/>
      <c r="K37" s="1"/>
      <c r="L37" s="1"/>
      <c r="M37" s="1"/>
      <c r="O37" s="1"/>
      <c r="P37" s="1"/>
      <c r="Q37" s="1"/>
      <c r="R37" s="1"/>
      <c r="S37" s="1"/>
      <c r="T37" s="1"/>
      <c r="U37" s="1"/>
      <c r="V37" s="1"/>
      <c r="W37" s="1"/>
      <c r="X37" s="1"/>
      <c r="Z37" s="1"/>
      <c r="AA37" s="1"/>
      <c r="AB37" s="1"/>
      <c r="AC37" s="1"/>
      <c r="AD37" s="1"/>
      <c r="AE37" s="1"/>
      <c r="AF37" s="1"/>
      <c r="AG37" s="1"/>
      <c r="AH37" s="1"/>
      <c r="AI37" s="1"/>
      <c r="AK37" s="1"/>
      <c r="AL37" s="1"/>
      <c r="AM37" s="1"/>
      <c r="AN37" s="1"/>
      <c r="AO37" s="1"/>
      <c r="AP37" s="1"/>
      <c r="AQ37" s="1"/>
      <c r="AR37" s="1"/>
      <c r="AS37" s="1"/>
      <c r="AT37" s="1"/>
      <c r="AV37" s="1"/>
      <c r="AW37" s="1"/>
      <c r="AX37" s="1"/>
      <c r="AY37" s="1"/>
      <c r="AZ37" s="1"/>
      <c r="BA37" s="1"/>
      <c r="BB37" s="1"/>
      <c r="BC37" s="1"/>
      <c r="BD37" s="1"/>
      <c r="BE37" s="1"/>
      <c r="BG37" s="1"/>
      <c r="BH37" s="1"/>
      <c r="BI37" s="1"/>
      <c r="BJ37" s="1"/>
      <c r="BK37" s="1"/>
      <c r="BL37" s="1"/>
      <c r="BM37" s="1"/>
      <c r="BN37" s="1"/>
      <c r="BO37" s="1"/>
      <c r="BP37" s="1"/>
      <c r="BR37" s="1"/>
      <c r="BS37" s="1"/>
      <c r="BT37" s="1"/>
      <c r="BU37" s="1"/>
      <c r="BV37" s="1"/>
      <c r="BW37" s="1"/>
      <c r="BX37" s="1"/>
      <c r="BY37" s="1"/>
      <c r="BZ37" s="1"/>
      <c r="CA37" s="1"/>
      <c r="CC37" s="1"/>
      <c r="CD37" s="1"/>
      <c r="CE37" s="1"/>
      <c r="CF37" s="1"/>
      <c r="CG37" s="1"/>
      <c r="CH37" s="1"/>
      <c r="CI37" s="1"/>
      <c r="CJ37" s="1"/>
      <c r="CK37" s="1"/>
      <c r="CL37" s="1"/>
      <c r="CN37" s="1"/>
      <c r="CO37" s="1"/>
      <c r="CP37" s="1"/>
      <c r="CQ37" s="1"/>
      <c r="CR37" s="1"/>
      <c r="CS37" s="1"/>
      <c r="CT37" s="1"/>
      <c r="CU37" s="1"/>
      <c r="CV37" s="1"/>
      <c r="CW37" s="1"/>
    </row>
    <row r="38" spans="2:102">
      <c r="B38" s="450" t="s">
        <v>111</v>
      </c>
      <c r="C38" s="451"/>
      <c r="D38" s="451">
        <f t="shared" ref="D38:M38" si="35">D9+D22+D26+D30+D13+D17</f>
        <v>0</v>
      </c>
      <c r="E38" s="451">
        <f t="shared" si="35"/>
        <v>544</v>
      </c>
      <c r="F38" s="451">
        <f t="shared" si="35"/>
        <v>1308</v>
      </c>
      <c r="G38" s="451">
        <f t="shared" si="35"/>
        <v>1949.8215</v>
      </c>
      <c r="H38" s="451">
        <f t="shared" si="35"/>
        <v>3791.2995999999998</v>
      </c>
      <c r="I38" s="451">
        <f t="shared" si="35"/>
        <v>4468.9459999999999</v>
      </c>
      <c r="J38" s="451">
        <f t="shared" si="35"/>
        <v>4968.9459999999999</v>
      </c>
      <c r="K38" s="451">
        <f t="shared" si="35"/>
        <v>4968.9459999999999</v>
      </c>
      <c r="L38" s="451">
        <f t="shared" si="35"/>
        <v>4968.9459999999999</v>
      </c>
      <c r="M38" s="451">
        <f t="shared" si="35"/>
        <v>4968.9459999999999</v>
      </c>
      <c r="O38" s="451">
        <f t="shared" ref="O38:X38" si="36">O9+O22+O26+O30+O13+O17</f>
        <v>0</v>
      </c>
      <c r="P38" s="451">
        <f t="shared" si="36"/>
        <v>0</v>
      </c>
      <c r="Q38" s="451">
        <f t="shared" si="36"/>
        <v>0</v>
      </c>
      <c r="R38" s="451">
        <f t="shared" si="36"/>
        <v>1889.4644999999996</v>
      </c>
      <c r="S38" s="451">
        <f t="shared" si="36"/>
        <v>10101.137199999999</v>
      </c>
      <c r="T38" s="451">
        <f t="shared" si="36"/>
        <v>21084.661999999997</v>
      </c>
      <c r="U38" s="451">
        <f t="shared" si="36"/>
        <v>22584.661999999997</v>
      </c>
      <c r="V38" s="451">
        <f t="shared" si="36"/>
        <v>22584.661999999997</v>
      </c>
      <c r="W38" s="451">
        <f t="shared" si="36"/>
        <v>22584.661999999997</v>
      </c>
      <c r="X38" s="451">
        <f t="shared" si="36"/>
        <v>22584.661999999997</v>
      </c>
      <c r="Z38" s="451">
        <f t="shared" ref="Z38:AI38" si="37">Z9+Z22+Z26+Z30+Z13+Z17</f>
        <v>0</v>
      </c>
      <c r="AA38" s="451">
        <f t="shared" si="37"/>
        <v>0</v>
      </c>
      <c r="AB38" s="451">
        <f t="shared" si="37"/>
        <v>0</v>
      </c>
      <c r="AC38" s="451">
        <f t="shared" si="37"/>
        <v>4282.7861999999996</v>
      </c>
      <c r="AD38" s="451">
        <f t="shared" si="37"/>
        <v>21373.142559999997</v>
      </c>
      <c r="AE38" s="451">
        <f t="shared" si="37"/>
        <v>43441.133599999994</v>
      </c>
      <c r="AF38" s="451">
        <f t="shared" si="37"/>
        <v>46841.133599999994</v>
      </c>
      <c r="AG38" s="451">
        <f t="shared" si="37"/>
        <v>46841.133599999994</v>
      </c>
      <c r="AH38" s="451">
        <f t="shared" si="37"/>
        <v>46841.133599999994</v>
      </c>
      <c r="AI38" s="451">
        <f t="shared" si="37"/>
        <v>46841.133599999994</v>
      </c>
      <c r="AK38" s="451">
        <f t="shared" ref="AK38:AT38" si="38">AK9+AK22+AK26+AK30+AK13+AK17</f>
        <v>0</v>
      </c>
      <c r="AL38" s="451">
        <f t="shared" si="38"/>
        <v>0</v>
      </c>
      <c r="AM38" s="451">
        <f t="shared" si="38"/>
        <v>0</v>
      </c>
      <c r="AN38" s="451">
        <f t="shared" si="38"/>
        <v>0.7</v>
      </c>
      <c r="AO38" s="451">
        <f t="shared" si="38"/>
        <v>4</v>
      </c>
      <c r="AP38" s="451">
        <f t="shared" si="38"/>
        <v>20</v>
      </c>
      <c r="AQ38" s="451">
        <f t="shared" si="38"/>
        <v>30</v>
      </c>
      <c r="AR38" s="451">
        <f t="shared" si="38"/>
        <v>45</v>
      </c>
      <c r="AS38" s="451">
        <f t="shared" si="38"/>
        <v>67.5</v>
      </c>
      <c r="AT38" s="451">
        <f t="shared" si="38"/>
        <v>70.875</v>
      </c>
      <c r="AV38" s="451">
        <f t="shared" ref="AV38:BE38" si="39">AV9+AV22+AV26+AV30+AV13+AV17</f>
        <v>0</v>
      </c>
      <c r="AW38" s="451">
        <f t="shared" si="39"/>
        <v>0</v>
      </c>
      <c r="AX38" s="451">
        <f t="shared" si="39"/>
        <v>0</v>
      </c>
      <c r="AY38" s="451">
        <f t="shared" si="39"/>
        <v>0</v>
      </c>
      <c r="AZ38" s="451">
        <f t="shared" si="39"/>
        <v>0</v>
      </c>
      <c r="BA38" s="451">
        <f t="shared" si="39"/>
        <v>400</v>
      </c>
      <c r="BB38" s="451">
        <f t="shared" si="39"/>
        <v>1150</v>
      </c>
      <c r="BC38" s="451">
        <f t="shared" si="39"/>
        <v>1750</v>
      </c>
      <c r="BD38" s="451">
        <f t="shared" si="39"/>
        <v>2050</v>
      </c>
      <c r="BE38" s="451">
        <f t="shared" si="39"/>
        <v>2152.5</v>
      </c>
      <c r="BG38" s="451">
        <f t="shared" ref="BG38:BP38" si="40">BG9+BG22+BG26+BG30+BG13+BG17</f>
        <v>0</v>
      </c>
      <c r="BH38" s="451">
        <f t="shared" si="40"/>
        <v>196</v>
      </c>
      <c r="BI38" s="451">
        <f t="shared" si="40"/>
        <v>199.92000000000002</v>
      </c>
      <c r="BJ38" s="451">
        <f t="shared" si="40"/>
        <v>203.91840000000002</v>
      </c>
      <c r="BK38" s="451">
        <f t="shared" si="40"/>
        <v>207.99676800000003</v>
      </c>
      <c r="BL38" s="451">
        <f t="shared" si="40"/>
        <v>212.15670336000002</v>
      </c>
      <c r="BM38" s="451">
        <f t="shared" si="40"/>
        <v>216.39983742720003</v>
      </c>
      <c r="BN38" s="451">
        <f t="shared" si="40"/>
        <v>222.89183255001603</v>
      </c>
      <c r="BO38" s="451">
        <f t="shared" si="40"/>
        <v>229.57858752651651</v>
      </c>
      <c r="BP38" s="451">
        <f t="shared" si="40"/>
        <v>236.465945152312</v>
      </c>
      <c r="BR38" s="451">
        <f t="shared" ref="BR38:CA38" si="41">BR9+BR22+BR26+BR30+BR13+BR17</f>
        <v>0</v>
      </c>
      <c r="BS38" s="451">
        <f t="shared" si="41"/>
        <v>135</v>
      </c>
      <c r="BT38" s="451">
        <f t="shared" si="41"/>
        <v>137.69999999999999</v>
      </c>
      <c r="BU38" s="451">
        <f t="shared" si="41"/>
        <v>140.45399999999998</v>
      </c>
      <c r="BV38" s="451">
        <f t="shared" si="41"/>
        <v>143.26307999999997</v>
      </c>
      <c r="BW38" s="451">
        <f t="shared" si="41"/>
        <v>146.12834159999997</v>
      </c>
      <c r="BX38" s="451">
        <f t="shared" si="41"/>
        <v>149.05090843199997</v>
      </c>
      <c r="BY38" s="451">
        <f t="shared" si="41"/>
        <v>153.52243568495999</v>
      </c>
      <c r="BZ38" s="451">
        <f t="shared" si="41"/>
        <v>158.1281087555088</v>
      </c>
      <c r="CA38" s="451">
        <f t="shared" si="41"/>
        <v>162.87195201817408</v>
      </c>
      <c r="CC38" s="451">
        <f t="shared" ref="CC38:CL38" si="42">CC9+CC22+CC26+CC30+CC13+CC17</f>
        <v>0</v>
      </c>
      <c r="CD38" s="451">
        <f t="shared" si="42"/>
        <v>3500</v>
      </c>
      <c r="CE38" s="451">
        <f t="shared" si="42"/>
        <v>4375</v>
      </c>
      <c r="CF38" s="451">
        <f t="shared" si="42"/>
        <v>4812.5</v>
      </c>
      <c r="CG38" s="451">
        <f t="shared" si="42"/>
        <v>5293.75</v>
      </c>
      <c r="CH38" s="451">
        <f t="shared" si="42"/>
        <v>5823.1250000000009</v>
      </c>
      <c r="CI38" s="451">
        <f t="shared" si="42"/>
        <v>6114.2812500000009</v>
      </c>
      <c r="CJ38" s="451">
        <f t="shared" si="42"/>
        <v>6419.9953125000011</v>
      </c>
      <c r="CK38" s="451">
        <f t="shared" si="42"/>
        <v>6300</v>
      </c>
      <c r="CL38" s="451">
        <f t="shared" si="42"/>
        <v>6300</v>
      </c>
      <c r="CN38" s="451">
        <f t="shared" ref="CN38:CW38" si="43">CN9+CN22+CN26+CN30+CN13+CN17</f>
        <v>0</v>
      </c>
      <c r="CO38" s="451">
        <f t="shared" si="43"/>
        <v>12480</v>
      </c>
      <c r="CP38" s="451">
        <f t="shared" si="43"/>
        <v>15600</v>
      </c>
      <c r="CQ38" s="451">
        <f t="shared" si="43"/>
        <v>17160</v>
      </c>
      <c r="CR38" s="451">
        <f t="shared" si="43"/>
        <v>18876</v>
      </c>
      <c r="CS38" s="451">
        <f t="shared" si="43"/>
        <v>20763.600000000002</v>
      </c>
      <c r="CT38" s="451">
        <f t="shared" si="43"/>
        <v>21801.780000000002</v>
      </c>
      <c r="CU38" s="451">
        <f t="shared" si="43"/>
        <v>22891.869000000002</v>
      </c>
      <c r="CV38" s="451">
        <f t="shared" si="43"/>
        <v>23000</v>
      </c>
      <c r="CW38" s="451">
        <f t="shared" si="43"/>
        <v>23000</v>
      </c>
    </row>
    <row r="39" spans="2:102" ht="14.45" customHeight="1">
      <c r="B39" s="8" t="s">
        <v>637</v>
      </c>
      <c r="C39" s="1"/>
      <c r="D39" s="1"/>
      <c r="E39" s="1">
        <f t="shared" ref="E39:M39" si="44">E38+P38</f>
        <v>544</v>
      </c>
      <c r="F39" s="1">
        <f t="shared" si="44"/>
        <v>1308</v>
      </c>
      <c r="G39" s="1">
        <f t="shared" si="44"/>
        <v>3839.2859999999996</v>
      </c>
      <c r="H39" s="1">
        <f t="shared" si="44"/>
        <v>13892.436799999999</v>
      </c>
      <c r="I39" s="1">
        <f t="shared" si="44"/>
        <v>25553.607999999997</v>
      </c>
      <c r="J39" s="1">
        <f t="shared" si="44"/>
        <v>27553.607999999997</v>
      </c>
      <c r="K39" s="1">
        <f t="shared" si="44"/>
        <v>27553.607999999997</v>
      </c>
      <c r="L39" s="1">
        <f t="shared" si="44"/>
        <v>27553.607999999997</v>
      </c>
      <c r="M39" s="1">
        <f t="shared" si="44"/>
        <v>27553.607999999997</v>
      </c>
      <c r="O39" s="1"/>
      <c r="P39" s="1"/>
      <c r="Q39" s="1"/>
      <c r="R39" s="1"/>
      <c r="S39" s="1"/>
      <c r="T39" s="1"/>
      <c r="U39" s="1"/>
      <c r="V39" s="1"/>
      <c r="W39" s="1"/>
      <c r="X39" s="1"/>
      <c r="Z39" s="1"/>
      <c r="AA39" s="1"/>
      <c r="AB39" s="1"/>
      <c r="AC39" s="1"/>
      <c r="AD39" s="1"/>
      <c r="AE39" s="1"/>
      <c r="AF39" s="1"/>
      <c r="AG39" s="1"/>
      <c r="AH39" s="1"/>
      <c r="AI39" s="1"/>
      <c r="AK39" s="1"/>
      <c r="AL39" s="1"/>
      <c r="AM39" s="1"/>
      <c r="AN39" s="1"/>
      <c r="AO39" s="1"/>
      <c r="AP39" s="1"/>
      <c r="AQ39" s="1"/>
      <c r="AR39" s="1"/>
      <c r="AS39" s="1"/>
      <c r="AT39" s="1"/>
      <c r="AV39" s="1"/>
      <c r="AW39" s="1"/>
      <c r="AX39" s="1"/>
      <c r="AY39" s="1"/>
      <c r="AZ39" s="1"/>
      <c r="BA39" s="1"/>
      <c r="BB39" s="1"/>
      <c r="BC39" s="1"/>
      <c r="BD39" s="1"/>
      <c r="BE39" s="1"/>
      <c r="BG39" s="1"/>
      <c r="BH39" s="1"/>
      <c r="BI39" s="1"/>
      <c r="BJ39" s="1"/>
      <c r="BK39" s="1"/>
      <c r="BL39" s="1"/>
      <c r="BM39" s="1"/>
      <c r="BN39" s="1"/>
      <c r="BO39" s="1"/>
      <c r="BP39" s="1"/>
      <c r="BR39" s="1"/>
      <c r="BS39" s="1"/>
      <c r="BT39" s="1"/>
      <c r="BU39" s="1"/>
      <c r="BV39" s="1"/>
      <c r="BW39" s="1"/>
      <c r="BX39" s="1"/>
      <c r="BY39" s="1"/>
      <c r="BZ39" s="1"/>
      <c r="CA39" s="1"/>
      <c r="CC39" s="1"/>
      <c r="CD39" s="1"/>
      <c r="CE39" s="1"/>
      <c r="CF39" s="1"/>
      <c r="CG39" s="1"/>
      <c r="CH39" s="1"/>
      <c r="CI39" s="1"/>
      <c r="CJ39" s="1"/>
      <c r="CK39" s="1"/>
      <c r="CL39" s="1"/>
      <c r="CN39" s="1"/>
      <c r="CO39" s="1"/>
      <c r="CP39" s="1"/>
      <c r="CQ39" s="1"/>
      <c r="CR39" s="1"/>
      <c r="CS39" s="1"/>
      <c r="CT39" s="1"/>
      <c r="CU39" s="1"/>
      <c r="CV39" s="1"/>
      <c r="CW39" s="1"/>
    </row>
    <row r="40" spans="2:102">
      <c r="B40" s="28" t="s">
        <v>112</v>
      </c>
      <c r="C40" s="131"/>
      <c r="D40" s="131"/>
      <c r="E40" s="491"/>
      <c r="F40" s="491"/>
      <c r="G40" s="491"/>
      <c r="H40" s="491"/>
      <c r="I40" s="491"/>
      <c r="J40" s="491"/>
      <c r="K40" s="491"/>
      <c r="L40" s="491"/>
      <c r="M40" s="491"/>
      <c r="O40" s="131"/>
      <c r="P40" s="131"/>
      <c r="Q40" s="131"/>
      <c r="R40" s="131"/>
      <c r="S40" s="131"/>
      <c r="T40" s="131"/>
      <c r="U40" s="131"/>
      <c r="V40" s="131"/>
      <c r="W40" s="131"/>
      <c r="X40" s="131"/>
      <c r="Z40" s="131"/>
      <c r="AA40" s="131"/>
      <c r="AB40" s="131"/>
      <c r="AC40" s="131"/>
      <c r="AD40" s="131"/>
      <c r="AE40" s="131"/>
      <c r="AF40" s="131"/>
      <c r="AG40" s="131"/>
      <c r="AH40" s="131"/>
      <c r="AI40" s="131"/>
      <c r="AK40" s="131"/>
      <c r="AL40" s="131"/>
      <c r="AM40" s="131"/>
      <c r="AN40" s="131"/>
      <c r="AO40" s="131"/>
      <c r="AP40" s="131"/>
      <c r="AQ40" s="131"/>
      <c r="AR40" s="131"/>
      <c r="AS40" s="131"/>
      <c r="AT40" s="131"/>
      <c r="AV40" s="131"/>
      <c r="AW40" s="131"/>
      <c r="AX40" s="131"/>
      <c r="AY40" s="131"/>
      <c r="AZ40" s="131"/>
      <c r="BA40" s="131"/>
      <c r="BB40" s="131"/>
      <c r="BC40" s="131"/>
      <c r="BD40" s="131"/>
      <c r="BE40" s="131"/>
      <c r="BG40" s="131"/>
      <c r="BH40" s="131"/>
      <c r="BI40" s="131"/>
      <c r="BJ40" s="131"/>
      <c r="BK40" s="131"/>
      <c r="BL40" s="131"/>
      <c r="BM40" s="131"/>
      <c r="BN40" s="131"/>
      <c r="BO40" s="131"/>
      <c r="BP40" s="131"/>
      <c r="BR40" s="131"/>
      <c r="BS40" s="131"/>
      <c r="BT40" s="131"/>
      <c r="BU40" s="131"/>
      <c r="BV40" s="131"/>
      <c r="BW40" s="131"/>
      <c r="BX40" s="131"/>
      <c r="BY40" s="131"/>
      <c r="BZ40" s="131"/>
      <c r="CA40" s="131"/>
      <c r="CC40" s="131"/>
      <c r="CD40" s="131"/>
      <c r="CE40" s="131"/>
      <c r="CF40" s="131"/>
      <c r="CG40" s="131"/>
      <c r="CH40" s="131"/>
      <c r="CI40" s="131"/>
      <c r="CJ40" s="131"/>
      <c r="CK40" s="131"/>
      <c r="CL40" s="131"/>
      <c r="CN40" s="131"/>
      <c r="CO40" s="131"/>
      <c r="CP40" s="131"/>
      <c r="CQ40" s="131"/>
      <c r="CR40" s="131"/>
      <c r="CS40" s="131"/>
      <c r="CT40" s="131"/>
      <c r="CU40" s="131"/>
      <c r="CV40" s="131"/>
      <c r="CW40" s="131"/>
    </row>
    <row r="41" spans="2:102" ht="3.75" customHeight="1">
      <c r="C41" s="1"/>
      <c r="D41" s="1"/>
      <c r="E41" s="1"/>
      <c r="F41" s="1"/>
      <c r="G41" s="1"/>
      <c r="H41" s="1"/>
      <c r="I41" s="1"/>
      <c r="J41" s="1"/>
      <c r="K41" s="1"/>
      <c r="L41" s="1"/>
      <c r="M41" s="1"/>
      <c r="O41" s="1"/>
      <c r="P41" s="1"/>
      <c r="Q41" s="1"/>
      <c r="R41" s="1"/>
      <c r="S41" s="1"/>
      <c r="T41" s="1"/>
      <c r="U41" s="1"/>
      <c r="V41" s="1"/>
      <c r="W41" s="1"/>
      <c r="X41" s="1"/>
      <c r="Z41" s="1"/>
      <c r="AA41" s="1"/>
      <c r="AB41" s="1"/>
      <c r="AC41" s="1"/>
      <c r="AD41" s="1"/>
      <c r="AE41" s="1"/>
      <c r="AF41" s="1"/>
      <c r="AG41" s="1"/>
      <c r="AH41" s="1"/>
      <c r="AI41" s="1"/>
      <c r="AK41" s="1"/>
      <c r="AL41" s="1"/>
      <c r="AM41" s="1"/>
      <c r="AN41" s="1"/>
      <c r="AO41" s="1"/>
      <c r="AP41" s="1"/>
      <c r="AQ41" s="1"/>
      <c r="AR41" s="1"/>
      <c r="AS41" s="1"/>
      <c r="AT41" s="1"/>
      <c r="AV41" s="1"/>
      <c r="AW41" s="1"/>
      <c r="AX41" s="1"/>
      <c r="AY41" s="1"/>
      <c r="AZ41" s="1"/>
      <c r="BA41" s="1"/>
      <c r="BB41" s="1"/>
      <c r="BC41" s="1"/>
      <c r="BD41" s="1"/>
      <c r="BE41" s="1"/>
      <c r="BG41" s="1"/>
      <c r="BH41" s="1"/>
      <c r="BI41" s="1"/>
      <c r="BJ41" s="1"/>
      <c r="BK41" s="1"/>
      <c r="BL41" s="1"/>
      <c r="BM41" s="1"/>
      <c r="BN41" s="1"/>
      <c r="BO41" s="1"/>
      <c r="BP41" s="1"/>
      <c r="BR41" s="1"/>
      <c r="BS41" s="1"/>
      <c r="BT41" s="1"/>
      <c r="BU41" s="1"/>
      <c r="BV41" s="1"/>
      <c r="BW41" s="1"/>
      <c r="BX41" s="1"/>
      <c r="BY41" s="1"/>
      <c r="BZ41" s="1"/>
      <c r="CA41" s="1"/>
      <c r="CC41" s="1"/>
      <c r="CD41" s="1"/>
      <c r="CE41" s="1"/>
      <c r="CF41" s="1"/>
      <c r="CG41" s="1"/>
      <c r="CH41" s="1"/>
      <c r="CI41" s="1"/>
      <c r="CJ41" s="1"/>
      <c r="CK41" s="1"/>
      <c r="CL41" s="1"/>
      <c r="CN41" s="1"/>
      <c r="CO41" s="1"/>
      <c r="CP41" s="1"/>
      <c r="CQ41" s="1"/>
      <c r="CR41" s="1"/>
      <c r="CS41" s="1"/>
      <c r="CT41" s="1"/>
      <c r="CU41" s="1"/>
      <c r="CV41" s="1"/>
      <c r="CW41" s="1"/>
    </row>
    <row r="42" spans="2:102">
      <c r="B42" s="113" t="s">
        <v>113</v>
      </c>
      <c r="C42" s="114"/>
      <c r="D42" s="114">
        <f>D38-D43-D44+C44</f>
        <v>0</v>
      </c>
      <c r="E42" s="114">
        <f>E38-E43-E44+D44</f>
        <v>437.57534246575341</v>
      </c>
      <c r="F42" s="114">
        <f t="shared" ref="F42:H42" si="45">F38-F43-F44+E44</f>
        <v>1122.4109589041095</v>
      </c>
      <c r="G42" s="114">
        <f t="shared" si="45"/>
        <v>1896.0827465753425</v>
      </c>
      <c r="H42" s="114">
        <f t="shared" si="45"/>
        <v>3728.3687808219179</v>
      </c>
      <c r="I42" s="114">
        <f t="shared" ref="I42" si="46">I38-I43-I44+H44</f>
        <v>4616.9739561643837</v>
      </c>
      <c r="J42" s="114">
        <f t="shared" ref="J42" si="47">J38-J43-J44+I44</f>
        <v>4948.3980547945202</v>
      </c>
      <c r="K42" s="114">
        <f t="shared" ref="K42" si="48">K38-K43-K44+J44</f>
        <v>4968.9459999999999</v>
      </c>
      <c r="L42" s="114">
        <f t="shared" ref="L42:M42" si="49">L38-L43-L44+K44</f>
        <v>4968.9459999999999</v>
      </c>
      <c r="M42" s="114">
        <f t="shared" si="49"/>
        <v>4968.9459999999999</v>
      </c>
      <c r="O42" s="114">
        <f>O38-O43-O44</f>
        <v>0</v>
      </c>
      <c r="P42" s="114">
        <f>P38-P43-P44+O44</f>
        <v>0</v>
      </c>
      <c r="Q42" s="114">
        <f t="shared" ref="Q42" si="50">Q38-Q43-Q44+P44</f>
        <v>0</v>
      </c>
      <c r="R42" s="114">
        <f t="shared" ref="R42" si="51">R38-R43-R44+Q44</f>
        <v>1654.166047945205</v>
      </c>
      <c r="S42" s="114">
        <f t="shared" ref="S42" si="52">S38-S43-S44+R44</f>
        <v>9619.7941671232875</v>
      </c>
      <c r="T42" s="114">
        <f t="shared" ref="T42" si="53">T38-T43-T44+S44</f>
        <v>20854.810526027395</v>
      </c>
      <c r="U42" s="114">
        <f t="shared" ref="U42" si="54">U38-U43-U44+T44</f>
        <v>22523.018164383557</v>
      </c>
      <c r="V42" s="114">
        <f t="shared" ref="V42" si="55">V38-V43-V44+U44</f>
        <v>22584.661999999997</v>
      </c>
      <c r="W42" s="114">
        <f t="shared" ref="W42:X42" si="56">W38-W43-W44+V44</f>
        <v>22584.661999999997</v>
      </c>
      <c r="X42" s="114">
        <f t="shared" si="56"/>
        <v>22584.661999999997</v>
      </c>
      <c r="Z42" s="114">
        <f>Z38-Z43-Z44</f>
        <v>0</v>
      </c>
      <c r="AA42" s="114">
        <f t="shared" ref="AA42:AB42" si="57">AA38-AA43-AA44+Z44</f>
        <v>0</v>
      </c>
      <c r="AB42" s="114">
        <f t="shared" si="57"/>
        <v>0</v>
      </c>
      <c r="AC42" s="114">
        <f t="shared" ref="AC42" si="58">AC38-AC43-AC44+AB44</f>
        <v>4165.4495917808217</v>
      </c>
      <c r="AD42" s="114">
        <f t="shared" ref="AD42" si="59">AD38-AD43-AD44+AC44</f>
        <v>20904.913618630133</v>
      </c>
      <c r="AE42" s="114">
        <f t="shared" ref="AE42" si="60">AE38-AE43-AE44+AD44</f>
        <v>42836.531105753413</v>
      </c>
      <c r="AF42" s="114">
        <f t="shared" ref="AF42" si="61">AF38-AF43-AF44+AE44</f>
        <v>46747.982915068489</v>
      </c>
      <c r="AG42" s="114">
        <f t="shared" ref="AG42" si="62">AG38-AG43-AG44+AF44</f>
        <v>46841.133599999994</v>
      </c>
      <c r="AH42" s="114">
        <f t="shared" ref="AH42" si="63">AH38-AH43-AH44+AG44</f>
        <v>46841.133599999994</v>
      </c>
      <c r="AI42" s="114">
        <f t="shared" ref="AI42" si="64">AI38-AI43-AI44+AH44</f>
        <v>46841.133599999994</v>
      </c>
      <c r="AK42" s="114">
        <f>AK38-AK43-AK44</f>
        <v>0</v>
      </c>
      <c r="AL42" s="114">
        <f>AL38-AL43-AL44</f>
        <v>0</v>
      </c>
      <c r="AM42" s="114">
        <f>AM38-AM43-AM44</f>
        <v>0</v>
      </c>
      <c r="AN42" s="114">
        <f t="shared" ref="AN42" si="65">AN38-AN43-AN44+AM44</f>
        <v>0.58493150684931505</v>
      </c>
      <c r="AO42" s="114">
        <f t="shared" ref="AO42" si="66">AO38-AO43-AO44+AN44</f>
        <v>3.5671232876712331</v>
      </c>
      <c r="AP42" s="114">
        <f t="shared" ref="AP42" si="67">AP38-AP43-AP44+AO44</f>
        <v>19.726027397260271</v>
      </c>
      <c r="AQ42" s="114">
        <f t="shared" ref="AQ42" si="68">AQ38-AQ43-AQ44+AP44</f>
        <v>29.589041095890412</v>
      </c>
      <c r="AR42" s="114">
        <f t="shared" ref="AR42" si="69">AR38-AR43-AR44+AQ44</f>
        <v>44.38356164383562</v>
      </c>
      <c r="AS42" s="114">
        <f t="shared" ref="AS42" si="70">AS38-AS43-AS44+AR44</f>
        <v>66.575342465753423</v>
      </c>
      <c r="AT42" s="114">
        <f t="shared" ref="AT42" si="71">AT38-AT43-AT44+AS44</f>
        <v>70.736301369863014</v>
      </c>
      <c r="AV42" s="114">
        <f>AV38-AV43-AV44</f>
        <v>0</v>
      </c>
      <c r="AW42" s="114">
        <f>AW38-AW43-AW44</f>
        <v>0</v>
      </c>
      <c r="AX42" s="114">
        <f t="shared" ref="AX42" si="72">AX38-AX43-AX44+AW44</f>
        <v>0</v>
      </c>
      <c r="AY42" s="114">
        <f t="shared" ref="AY42" si="73">AY38-AY43-AY44+AX44</f>
        <v>0</v>
      </c>
      <c r="AZ42" s="114">
        <f t="shared" ref="AZ42" si="74">AZ38-AZ43-AZ44+AY44</f>
        <v>0</v>
      </c>
      <c r="BA42" s="114">
        <f t="shared" ref="BA42" si="75">BA38-BA43-BA44+AZ44</f>
        <v>383.56164383561645</v>
      </c>
      <c r="BB42" s="114">
        <f t="shared" ref="BB42" si="76">BB38-BB43-BB44+BA44</f>
        <v>1119.1780821917807</v>
      </c>
      <c r="BC42" s="114">
        <f t="shared" ref="BC42" si="77">BC38-BC43-BC44+BB44</f>
        <v>1725.3424657534247</v>
      </c>
      <c r="BD42" s="114">
        <f t="shared" ref="BD42" si="78">BD38-BD43-BD44+BC44</f>
        <v>2037.6712328767123</v>
      </c>
      <c r="BE42" s="114">
        <f t="shared" ref="BE42" si="79">BE38-BE43-BE44+BD44</f>
        <v>2148.2876712328766</v>
      </c>
      <c r="BG42" s="114">
        <f>BG38-BG43-BG44</f>
        <v>0</v>
      </c>
      <c r="BH42" s="114">
        <f>BH38-BH43-BH44</f>
        <v>196</v>
      </c>
      <c r="BI42" s="114">
        <f>BI38-BI43-BI44</f>
        <v>199.92000000000002</v>
      </c>
      <c r="BJ42" s="114">
        <f>BJ38-BJ43-BJ44</f>
        <v>203.91840000000002</v>
      </c>
      <c r="BK42" s="114">
        <f>BK38-BK43-BK44</f>
        <v>207.99676800000003</v>
      </c>
      <c r="BL42" s="114">
        <f t="shared" ref="BL42:BO42" si="80">BL38-BL43-BL44</f>
        <v>212.15670336000002</v>
      </c>
      <c r="BM42" s="114">
        <f t="shared" si="80"/>
        <v>216.39983742720003</v>
      </c>
      <c r="BN42" s="114">
        <f t="shared" si="80"/>
        <v>222.89183255001603</v>
      </c>
      <c r="BO42" s="114">
        <f t="shared" si="80"/>
        <v>229.57858752651651</v>
      </c>
      <c r="BP42" s="114">
        <f t="shared" ref="BP42" si="81">BP38-BP43-BP44</f>
        <v>236.465945152312</v>
      </c>
      <c r="BR42" s="114">
        <f>BR38-BR43-BR44</f>
        <v>0</v>
      </c>
      <c r="BS42" s="114">
        <f>BS38-BS43-BS44</f>
        <v>135</v>
      </c>
      <c r="BT42" s="114">
        <f>BT38-BT43-BT44</f>
        <v>137.69999999999999</v>
      </c>
      <c r="BU42" s="114">
        <f>BU38-BU43-BU44</f>
        <v>140.45399999999998</v>
      </c>
      <c r="BV42" s="114">
        <f>BV38-BV43-BV44</f>
        <v>143.26307999999997</v>
      </c>
      <c r="BW42" s="114">
        <f t="shared" ref="BW42:CA42" si="82">BW38-BW43-BW44</f>
        <v>146.12834159999997</v>
      </c>
      <c r="BX42" s="114">
        <f t="shared" si="82"/>
        <v>149.05090843199997</v>
      </c>
      <c r="BY42" s="114">
        <f t="shared" si="82"/>
        <v>153.52243568495999</v>
      </c>
      <c r="BZ42" s="114">
        <f t="shared" si="82"/>
        <v>158.1281087555088</v>
      </c>
      <c r="CA42" s="114">
        <f t="shared" si="82"/>
        <v>162.87195201817408</v>
      </c>
      <c r="CC42" s="114">
        <f>CC38-CC43-CC44</f>
        <v>0</v>
      </c>
      <c r="CD42" s="114">
        <f>CD38-CD43-CD44</f>
        <v>3500</v>
      </c>
      <c r="CE42" s="114">
        <f>CE38-CE43-CE44</f>
        <v>4375</v>
      </c>
      <c r="CF42" s="114">
        <f>CF38-CF43-CF44</f>
        <v>4812.5</v>
      </c>
      <c r="CG42" s="114">
        <f>CG38-CG43-CG44</f>
        <v>5293.75</v>
      </c>
      <c r="CH42" s="114">
        <f t="shared" ref="CH42:CK42" si="83">CH38-CH43-CH44</f>
        <v>5823.1250000000009</v>
      </c>
      <c r="CI42" s="114">
        <f t="shared" si="83"/>
        <v>6114.2812500000009</v>
      </c>
      <c r="CJ42" s="114">
        <f t="shared" si="83"/>
        <v>6419.9953125000011</v>
      </c>
      <c r="CK42" s="114">
        <f t="shared" si="83"/>
        <v>6300</v>
      </c>
      <c r="CL42" s="114">
        <f t="shared" ref="CL42" si="84">CL38-CL43-CL44</f>
        <v>6300</v>
      </c>
      <c r="CN42" s="114">
        <f>CN38-CN43-CN44</f>
        <v>0</v>
      </c>
      <c r="CO42" s="114">
        <f>CO38-CO43-CO44</f>
        <v>12480</v>
      </c>
      <c r="CP42" s="114">
        <f>CP38-CP43-CP44</f>
        <v>15600</v>
      </c>
      <c r="CQ42" s="114">
        <f>CQ38-CQ43-CQ44</f>
        <v>17160</v>
      </c>
      <c r="CR42" s="114">
        <f>CR38-CR43-CR44</f>
        <v>18876</v>
      </c>
      <c r="CS42" s="114">
        <f t="shared" ref="CS42:CV42" si="85">CS38-CS43-CS44</f>
        <v>20763.600000000002</v>
      </c>
      <c r="CT42" s="114">
        <f t="shared" si="85"/>
        <v>21801.780000000002</v>
      </c>
      <c r="CU42" s="114">
        <f t="shared" si="85"/>
        <v>22891.869000000002</v>
      </c>
      <c r="CV42" s="114">
        <f t="shared" si="85"/>
        <v>23000</v>
      </c>
      <c r="CW42" s="114">
        <f t="shared" ref="CW42" si="86">CW38-CW43-CW44</f>
        <v>23000</v>
      </c>
    </row>
    <row r="43" spans="2:102">
      <c r="B43" s="110" t="s">
        <v>514</v>
      </c>
      <c r="C43" s="130"/>
      <c r="D43" s="130"/>
      <c r="E43" s="130">
        <v>17</v>
      </c>
      <c r="F43" s="130">
        <v>60</v>
      </c>
      <c r="G43" s="130"/>
      <c r="H43" s="130"/>
      <c r="I43" s="130"/>
      <c r="J43" s="130"/>
      <c r="K43" s="130"/>
      <c r="L43" s="130"/>
      <c r="M43" s="130"/>
      <c r="O43" s="130"/>
      <c r="P43" s="130"/>
      <c r="Q43" s="130"/>
      <c r="R43" s="130">
        <v>80</v>
      </c>
      <c r="S43" s="130">
        <v>0</v>
      </c>
      <c r="T43" s="130">
        <v>0</v>
      </c>
      <c r="U43" s="130">
        <v>0</v>
      </c>
      <c r="V43" s="130">
        <v>0</v>
      </c>
      <c r="W43" s="130">
        <v>0</v>
      </c>
      <c r="X43" s="130">
        <v>0</v>
      </c>
      <c r="Z43" s="102"/>
      <c r="AA43" s="102"/>
      <c r="AB43" s="102"/>
      <c r="AC43" s="102"/>
      <c r="AD43" s="102"/>
      <c r="AE43" s="102"/>
      <c r="AF43" s="102"/>
      <c r="AG43" s="102"/>
      <c r="AH43" s="102"/>
      <c r="AI43" s="102"/>
      <c r="AJ43" s="102"/>
      <c r="AK43" s="102"/>
      <c r="AL43" s="102"/>
      <c r="AM43" s="102"/>
      <c r="AN43" s="102"/>
      <c r="AO43" s="102"/>
      <c r="AP43" s="102"/>
      <c r="AQ43" s="102"/>
      <c r="AR43" s="102"/>
      <c r="AS43" s="102"/>
      <c r="AT43" s="102"/>
      <c r="AU43" s="102"/>
      <c r="AV43" s="102"/>
      <c r="AW43" s="102"/>
      <c r="AX43" s="102"/>
      <c r="AY43" s="102"/>
      <c r="AZ43" s="102"/>
      <c r="BA43" s="102"/>
      <c r="BB43" s="102"/>
      <c r="BC43" s="102"/>
      <c r="BD43" s="102"/>
      <c r="BE43" s="102"/>
      <c r="BF43" s="102"/>
      <c r="BG43" s="102"/>
      <c r="BH43" s="102"/>
      <c r="BI43" s="102"/>
      <c r="BJ43" s="102"/>
      <c r="BK43" s="102"/>
      <c r="BL43" s="102"/>
      <c r="BM43" s="102"/>
      <c r="BN43" s="102"/>
      <c r="BO43" s="102"/>
      <c r="BP43" s="102"/>
      <c r="BQ43" s="102"/>
      <c r="BR43" s="102"/>
      <c r="BS43" s="102"/>
      <c r="BT43" s="102"/>
      <c r="BU43" s="102"/>
      <c r="BV43" s="102"/>
      <c r="BW43" s="102"/>
      <c r="BX43" s="102"/>
      <c r="BY43" s="102"/>
      <c r="BZ43" s="102"/>
      <c r="CA43" s="102"/>
      <c r="CB43" s="102"/>
      <c r="CC43" s="102"/>
      <c r="CD43" s="102"/>
      <c r="CE43" s="102"/>
      <c r="CF43" s="102"/>
      <c r="CG43" s="102"/>
      <c r="CH43" s="102"/>
      <c r="CI43" s="102"/>
      <c r="CJ43" s="102"/>
      <c r="CK43" s="102"/>
      <c r="CL43" s="102"/>
      <c r="CM43" s="102"/>
      <c r="CN43" s="102"/>
      <c r="CO43" s="102"/>
      <c r="CP43" s="102"/>
      <c r="CQ43" s="102"/>
      <c r="CR43" s="102"/>
      <c r="CS43" s="102"/>
      <c r="CT43" s="102"/>
      <c r="CU43" s="102"/>
      <c r="CV43" s="102"/>
      <c r="CW43" s="102"/>
    </row>
    <row r="44" spans="2:102">
      <c r="B44" s="134" t="s">
        <v>114</v>
      </c>
      <c r="C44" s="135"/>
      <c r="D44" s="135">
        <f t="shared" ref="D44:M44" si="87">((D9/365)*D$56)   +     (((D22 + D26 + D30)/365)*D$59)    +    ((D13/365)*D$60)    +    ((D17/365)*D$57)</f>
        <v>0</v>
      </c>
      <c r="E44" s="135">
        <f t="shared" si="87"/>
        <v>89.424657534246577</v>
      </c>
      <c r="F44" s="135">
        <f t="shared" si="87"/>
        <v>215.01369863013699</v>
      </c>
      <c r="G44" s="135">
        <f t="shared" si="87"/>
        <v>268.7524520547945</v>
      </c>
      <c r="H44" s="135">
        <f t="shared" si="87"/>
        <v>331.68327123287662</v>
      </c>
      <c r="I44" s="135">
        <f t="shared" si="87"/>
        <v>183.65531506849314</v>
      </c>
      <c r="J44" s="135">
        <f t="shared" si="87"/>
        <v>204.2032602739726</v>
      </c>
      <c r="K44" s="135">
        <f t="shared" si="87"/>
        <v>204.2032602739726</v>
      </c>
      <c r="L44" s="135">
        <f t="shared" si="87"/>
        <v>204.2032602739726</v>
      </c>
      <c r="M44" s="135">
        <f t="shared" si="87"/>
        <v>204.2032602739726</v>
      </c>
      <c r="O44" s="135">
        <f t="shared" ref="O44:X44" si="88">((O9/365)*O$56)   +     (((O22 + O26 + O30)/365)*O$59)    +    ((O13/365)*O$60)    +    ((O17/365)*O$57)</f>
        <v>0</v>
      </c>
      <c r="P44" s="135">
        <f t="shared" si="88"/>
        <v>0</v>
      </c>
      <c r="Q44" s="135">
        <f t="shared" si="88"/>
        <v>0</v>
      </c>
      <c r="R44" s="135">
        <f t="shared" si="88"/>
        <v>155.2984520547945</v>
      </c>
      <c r="S44" s="135">
        <f t="shared" si="88"/>
        <v>636.64148493150674</v>
      </c>
      <c r="T44" s="135">
        <f t="shared" si="88"/>
        <v>866.49295890410951</v>
      </c>
      <c r="U44" s="135">
        <f t="shared" si="88"/>
        <v>928.13679452054794</v>
      </c>
      <c r="V44" s="135">
        <f t="shared" si="88"/>
        <v>928.13679452054794</v>
      </c>
      <c r="W44" s="135">
        <f t="shared" si="88"/>
        <v>928.13679452054794</v>
      </c>
      <c r="X44" s="135">
        <f t="shared" si="88"/>
        <v>928.13679452054794</v>
      </c>
      <c r="Z44" s="135">
        <f t="shared" ref="Z44:AI44" si="89">((Z9/365)*Z$56)   +     (((Z22 + Z26 + Z30)/365)*Z$59)    +    ((Z13/365)*Z$60)    +    ((Z17/365)*Z$57)</f>
        <v>0</v>
      </c>
      <c r="AA44" s="135">
        <f t="shared" si="89"/>
        <v>0</v>
      </c>
      <c r="AB44" s="135">
        <f t="shared" si="89"/>
        <v>0</v>
      </c>
      <c r="AC44" s="135">
        <f t="shared" si="89"/>
        <v>117.33660821917807</v>
      </c>
      <c r="AD44" s="135">
        <f t="shared" si="89"/>
        <v>585.5655495890411</v>
      </c>
      <c r="AE44" s="135">
        <f t="shared" si="89"/>
        <v>1190.1680438356163</v>
      </c>
      <c r="AF44" s="135">
        <f t="shared" si="89"/>
        <v>1283.318728767123</v>
      </c>
      <c r="AG44" s="135">
        <f t="shared" si="89"/>
        <v>1283.318728767123</v>
      </c>
      <c r="AH44" s="135">
        <f t="shared" si="89"/>
        <v>1283.318728767123</v>
      </c>
      <c r="AI44" s="135">
        <f t="shared" si="89"/>
        <v>1283.318728767123</v>
      </c>
      <c r="AJ44" s="112"/>
      <c r="AK44" s="135">
        <f t="shared" ref="AK44:AT44" si="90">((AK9/365)*AK$56)   +     (((AK22 + AK26 + AK30)/365)*AK$59)    +    ((AK13/365)*AK$60)    +    ((AK17/365)*AK$57)</f>
        <v>0</v>
      </c>
      <c r="AL44" s="135">
        <f t="shared" si="90"/>
        <v>0</v>
      </c>
      <c r="AM44" s="135">
        <f t="shared" si="90"/>
        <v>0</v>
      </c>
      <c r="AN44" s="135">
        <f t="shared" si="90"/>
        <v>0.11506849315068493</v>
      </c>
      <c r="AO44" s="135">
        <f t="shared" si="90"/>
        <v>0.54794520547945202</v>
      </c>
      <c r="AP44" s="135">
        <f t="shared" si="90"/>
        <v>0.82191780821917804</v>
      </c>
      <c r="AQ44" s="135">
        <f t="shared" si="90"/>
        <v>1.2328767123287672</v>
      </c>
      <c r="AR44" s="135">
        <f t="shared" si="90"/>
        <v>1.8493150684931505</v>
      </c>
      <c r="AS44" s="135">
        <f t="shared" si="90"/>
        <v>2.7739726027397258</v>
      </c>
      <c r="AT44" s="135">
        <f t="shared" si="90"/>
        <v>2.9126712328767121</v>
      </c>
      <c r="AU44" s="112"/>
      <c r="AV44" s="135">
        <f t="shared" ref="AV44:BE44" si="91">((AV9/365)*AV$56)   +     (((AV22 + AV26 + AV30)/365)*AV$59)    +    ((AV13/365)*AV$60)    +    ((AV17/365)*AV$57)</f>
        <v>0</v>
      </c>
      <c r="AW44" s="135">
        <f t="shared" si="91"/>
        <v>0</v>
      </c>
      <c r="AX44" s="135">
        <f t="shared" si="91"/>
        <v>0</v>
      </c>
      <c r="AY44" s="135">
        <f t="shared" si="91"/>
        <v>0</v>
      </c>
      <c r="AZ44" s="135">
        <f t="shared" si="91"/>
        <v>0</v>
      </c>
      <c r="BA44" s="135">
        <f t="shared" si="91"/>
        <v>16.43835616438356</v>
      </c>
      <c r="BB44" s="135">
        <f t="shared" si="91"/>
        <v>47.260273972602747</v>
      </c>
      <c r="BC44" s="135">
        <f t="shared" si="91"/>
        <v>71.917808219178085</v>
      </c>
      <c r="BD44" s="135">
        <f t="shared" si="91"/>
        <v>84.246575342465746</v>
      </c>
      <c r="BE44" s="135">
        <f t="shared" si="91"/>
        <v>88.458904109589042</v>
      </c>
      <c r="BF44" s="112"/>
      <c r="BG44" s="135">
        <f t="shared" ref="BG44:BP44" si="92">(BG38/365) * BG$60</f>
        <v>0</v>
      </c>
      <c r="BH44" s="135">
        <f t="shared" si="92"/>
        <v>0</v>
      </c>
      <c r="BI44" s="135">
        <f t="shared" si="92"/>
        <v>0</v>
      </c>
      <c r="BJ44" s="135">
        <f t="shared" si="92"/>
        <v>0</v>
      </c>
      <c r="BK44" s="135">
        <f t="shared" si="92"/>
        <v>0</v>
      </c>
      <c r="BL44" s="135">
        <f t="shared" si="92"/>
        <v>0</v>
      </c>
      <c r="BM44" s="135">
        <f t="shared" si="92"/>
        <v>0</v>
      </c>
      <c r="BN44" s="135">
        <f t="shared" si="92"/>
        <v>0</v>
      </c>
      <c r="BO44" s="135">
        <f t="shared" si="92"/>
        <v>0</v>
      </c>
      <c r="BP44" s="135">
        <f t="shared" si="92"/>
        <v>0</v>
      </c>
      <c r="BQ44" s="112"/>
      <c r="BR44" s="135">
        <f t="shared" ref="BR44:CA44" si="93">(BR38/365) * BR$60</f>
        <v>0</v>
      </c>
      <c r="BS44" s="135">
        <f t="shared" si="93"/>
        <v>0</v>
      </c>
      <c r="BT44" s="135">
        <f t="shared" si="93"/>
        <v>0</v>
      </c>
      <c r="BU44" s="135">
        <f t="shared" si="93"/>
        <v>0</v>
      </c>
      <c r="BV44" s="135">
        <f t="shared" si="93"/>
        <v>0</v>
      </c>
      <c r="BW44" s="135">
        <f t="shared" si="93"/>
        <v>0</v>
      </c>
      <c r="BX44" s="135">
        <f t="shared" si="93"/>
        <v>0</v>
      </c>
      <c r="BY44" s="135">
        <f t="shared" si="93"/>
        <v>0</v>
      </c>
      <c r="BZ44" s="135">
        <f t="shared" si="93"/>
        <v>0</v>
      </c>
      <c r="CA44" s="135">
        <f t="shared" si="93"/>
        <v>0</v>
      </c>
      <c r="CB44" s="112"/>
      <c r="CC44" s="135">
        <f t="shared" ref="CC44:CL44" si="94">(CC38/365) * CC$60</f>
        <v>0</v>
      </c>
      <c r="CD44" s="135">
        <f t="shared" si="94"/>
        <v>0</v>
      </c>
      <c r="CE44" s="135">
        <f t="shared" si="94"/>
        <v>0</v>
      </c>
      <c r="CF44" s="135">
        <f t="shared" si="94"/>
        <v>0</v>
      </c>
      <c r="CG44" s="135">
        <f t="shared" si="94"/>
        <v>0</v>
      </c>
      <c r="CH44" s="135">
        <f t="shared" si="94"/>
        <v>0</v>
      </c>
      <c r="CI44" s="135">
        <f t="shared" si="94"/>
        <v>0</v>
      </c>
      <c r="CJ44" s="135">
        <f t="shared" si="94"/>
        <v>0</v>
      </c>
      <c r="CK44" s="135">
        <f t="shared" si="94"/>
        <v>0</v>
      </c>
      <c r="CL44" s="135">
        <f t="shared" si="94"/>
        <v>0</v>
      </c>
      <c r="CM44" s="112"/>
      <c r="CN44" s="135">
        <f t="shared" ref="CN44:CW44" si="95">(CN38/365) * CN$60</f>
        <v>0</v>
      </c>
      <c r="CO44" s="135">
        <f t="shared" si="95"/>
        <v>0</v>
      </c>
      <c r="CP44" s="135">
        <f t="shared" si="95"/>
        <v>0</v>
      </c>
      <c r="CQ44" s="135">
        <f t="shared" si="95"/>
        <v>0</v>
      </c>
      <c r="CR44" s="135">
        <f t="shared" si="95"/>
        <v>0</v>
      </c>
      <c r="CS44" s="135">
        <f t="shared" si="95"/>
        <v>0</v>
      </c>
      <c r="CT44" s="135">
        <f t="shared" si="95"/>
        <v>0</v>
      </c>
      <c r="CU44" s="135">
        <f t="shared" si="95"/>
        <v>0</v>
      </c>
      <c r="CV44" s="135">
        <f t="shared" si="95"/>
        <v>0</v>
      </c>
      <c r="CW44" s="135">
        <f t="shared" si="95"/>
        <v>0</v>
      </c>
    </row>
    <row r="45" spans="2:102" s="100" customFormat="1" ht="14.25" thickBot="1">
      <c r="B45" s="138" t="s">
        <v>115</v>
      </c>
      <c r="C45" s="139"/>
      <c r="D45" s="139">
        <f>SUM(D42:D44)</f>
        <v>0</v>
      </c>
      <c r="E45" s="139">
        <f>SUM(E42:E44)</f>
        <v>544</v>
      </c>
      <c r="F45" s="139">
        <f>SUM(F42:F44)</f>
        <v>1397.4246575342465</v>
      </c>
      <c r="G45" s="139">
        <f>SUM(G42:G44)</f>
        <v>2164.8351986301368</v>
      </c>
      <c r="H45" s="139">
        <f>SUM(H42:H44)</f>
        <v>4060.0520520547943</v>
      </c>
      <c r="I45" s="139">
        <f t="shared" ref="I45:L45" si="96">SUM(I42:I44)</f>
        <v>4800.6292712328768</v>
      </c>
      <c r="J45" s="139">
        <f t="shared" si="96"/>
        <v>5152.601315068493</v>
      </c>
      <c r="K45" s="139">
        <f t="shared" si="96"/>
        <v>5173.1492602739727</v>
      </c>
      <c r="L45" s="139">
        <f t="shared" si="96"/>
        <v>5173.1492602739727</v>
      </c>
      <c r="M45" s="139">
        <f t="shared" ref="M45" si="97">SUM(M42:M44)</f>
        <v>5173.1492602739727</v>
      </c>
      <c r="O45" s="139">
        <f>SUM(O42:O44)</f>
        <v>0</v>
      </c>
      <c r="P45" s="139">
        <f>SUM(P42:P44)</f>
        <v>0</v>
      </c>
      <c r="Q45" s="139">
        <f>SUM(Q42:Q44)</f>
        <v>0</v>
      </c>
      <c r="R45" s="139">
        <f>SUM(R42:R44)</f>
        <v>1889.4644999999996</v>
      </c>
      <c r="S45" s="139">
        <f>SUM(S42:S44)</f>
        <v>10256.435652054794</v>
      </c>
      <c r="T45" s="139">
        <f t="shared" ref="T45:W45" si="98">SUM(T42:T44)</f>
        <v>21721.303484931504</v>
      </c>
      <c r="U45" s="139">
        <f t="shared" si="98"/>
        <v>23451.154958904106</v>
      </c>
      <c r="V45" s="139">
        <f t="shared" si="98"/>
        <v>23512.798794520546</v>
      </c>
      <c r="W45" s="139">
        <f t="shared" si="98"/>
        <v>23512.798794520546</v>
      </c>
      <c r="X45" s="139">
        <f t="shared" ref="X45" si="99">SUM(X42:X44)</f>
        <v>23512.798794520546</v>
      </c>
      <c r="Z45" s="139">
        <f>SUM(Z42:Z44)</f>
        <v>0</v>
      </c>
      <c r="AA45" s="139">
        <f>SUM(AA42:AA44)</f>
        <v>0</v>
      </c>
      <c r="AB45" s="139">
        <f>SUM(AB42:AB44)</f>
        <v>0</v>
      </c>
      <c r="AC45" s="139">
        <f>SUM(AC42:AC44)</f>
        <v>4282.7861999999996</v>
      </c>
      <c r="AD45" s="139">
        <f>SUM(AD42:AD44)</f>
        <v>21490.479168219175</v>
      </c>
      <c r="AE45" s="139">
        <f t="shared" ref="AE45:AH45" si="100">SUM(AE42:AE44)</f>
        <v>44026.699149589032</v>
      </c>
      <c r="AF45" s="139">
        <f t="shared" si="100"/>
        <v>48031.301643835614</v>
      </c>
      <c r="AG45" s="139">
        <f t="shared" si="100"/>
        <v>48124.452328767118</v>
      </c>
      <c r="AH45" s="139">
        <f t="shared" si="100"/>
        <v>48124.452328767118</v>
      </c>
      <c r="AI45" s="139">
        <f t="shared" ref="AI45" si="101">SUM(AI42:AI44)</f>
        <v>48124.452328767118</v>
      </c>
      <c r="AK45" s="139">
        <f>SUM(AK42:AK44)</f>
        <v>0</v>
      </c>
      <c r="AL45" s="139">
        <f>SUM(AL42:AL44)</f>
        <v>0</v>
      </c>
      <c r="AM45" s="139">
        <f>SUM(AM42:AM44)</f>
        <v>0</v>
      </c>
      <c r="AN45" s="139">
        <f>SUM(AN42:AN44)</f>
        <v>0.7</v>
      </c>
      <c r="AO45" s="139">
        <f>SUM(AO42:AO44)</f>
        <v>4.1150684931506856</v>
      </c>
      <c r="AP45" s="139">
        <f t="shared" ref="AP45:AS45" si="102">SUM(AP42:AP44)</f>
        <v>20.547945205479451</v>
      </c>
      <c r="AQ45" s="139">
        <f t="shared" si="102"/>
        <v>30.82191780821918</v>
      </c>
      <c r="AR45" s="139">
        <f t="shared" si="102"/>
        <v>46.232876712328768</v>
      </c>
      <c r="AS45" s="139">
        <f t="shared" si="102"/>
        <v>69.349315068493155</v>
      </c>
      <c r="AT45" s="139">
        <f t="shared" ref="AT45" si="103">SUM(AT42:AT44)</f>
        <v>73.648972602739732</v>
      </c>
      <c r="AV45" s="139">
        <f>SUM(AV42:AV44)</f>
        <v>0</v>
      </c>
      <c r="AW45" s="139">
        <f>SUM(AW42:AW44)</f>
        <v>0</v>
      </c>
      <c r="AX45" s="139">
        <f>SUM(AX42:AX44)</f>
        <v>0</v>
      </c>
      <c r="AY45" s="139">
        <f>SUM(AY42:AY44)</f>
        <v>0</v>
      </c>
      <c r="AZ45" s="139">
        <f>SUM(AZ42:AZ44)</f>
        <v>0</v>
      </c>
      <c r="BA45" s="139">
        <f t="shared" ref="BA45:BD45" si="104">SUM(BA42:BA44)</f>
        <v>400</v>
      </c>
      <c r="BB45" s="139">
        <f t="shared" si="104"/>
        <v>1166.4383561643835</v>
      </c>
      <c r="BC45" s="139">
        <f t="shared" si="104"/>
        <v>1797.2602739726028</v>
      </c>
      <c r="BD45" s="139">
        <f t="shared" si="104"/>
        <v>2121.9178082191779</v>
      </c>
      <c r="BE45" s="139">
        <f t="shared" ref="BE45" si="105">SUM(BE42:BE44)</f>
        <v>2236.7465753424658</v>
      </c>
      <c r="BG45" s="139">
        <f>SUM(BG42:BG44)</f>
        <v>0</v>
      </c>
      <c r="BH45" s="139">
        <f>SUM(BH42:BH44)</f>
        <v>196</v>
      </c>
      <c r="BI45" s="139">
        <f>SUM(BI42:BI44)</f>
        <v>199.92000000000002</v>
      </c>
      <c r="BJ45" s="139">
        <f>SUM(BJ42:BJ44)</f>
        <v>203.91840000000002</v>
      </c>
      <c r="BK45" s="139">
        <f>SUM(BK42:BK44)</f>
        <v>207.99676800000003</v>
      </c>
      <c r="BL45" s="139">
        <f t="shared" ref="BL45:BO45" si="106">SUM(BL42:BL44)</f>
        <v>212.15670336000002</v>
      </c>
      <c r="BM45" s="139">
        <f t="shared" si="106"/>
        <v>216.39983742720003</v>
      </c>
      <c r="BN45" s="139">
        <f t="shared" si="106"/>
        <v>222.89183255001603</v>
      </c>
      <c r="BO45" s="139">
        <f t="shared" si="106"/>
        <v>229.57858752651651</v>
      </c>
      <c r="BP45" s="139">
        <f t="shared" ref="BP45" si="107">SUM(BP42:BP44)</f>
        <v>236.465945152312</v>
      </c>
      <c r="BR45" s="139">
        <f>SUM(BR42:BR44)</f>
        <v>0</v>
      </c>
      <c r="BS45" s="139">
        <f>SUM(BS42:BS44)</f>
        <v>135</v>
      </c>
      <c r="BT45" s="139">
        <f>SUM(BT42:BT44)</f>
        <v>137.69999999999999</v>
      </c>
      <c r="BU45" s="139">
        <f>SUM(BU42:BU44)</f>
        <v>140.45399999999998</v>
      </c>
      <c r="BV45" s="139">
        <f>SUM(BV42:BV44)</f>
        <v>143.26307999999997</v>
      </c>
      <c r="BW45" s="139">
        <f t="shared" ref="BW45:CA45" si="108">SUM(BW42:BW44)</f>
        <v>146.12834159999997</v>
      </c>
      <c r="BX45" s="139">
        <f t="shared" si="108"/>
        <v>149.05090843199997</v>
      </c>
      <c r="BY45" s="139">
        <f t="shared" si="108"/>
        <v>153.52243568495999</v>
      </c>
      <c r="BZ45" s="139">
        <f t="shared" si="108"/>
        <v>158.1281087555088</v>
      </c>
      <c r="CA45" s="139">
        <f t="shared" si="108"/>
        <v>162.87195201817408</v>
      </c>
      <c r="CC45" s="139">
        <f>SUM(CC42:CC44)</f>
        <v>0</v>
      </c>
      <c r="CD45" s="139">
        <f>SUM(CD42:CD44)</f>
        <v>3500</v>
      </c>
      <c r="CE45" s="139">
        <f>SUM(CE42:CE44)</f>
        <v>4375</v>
      </c>
      <c r="CF45" s="139">
        <f>SUM(CF42:CF44)</f>
        <v>4812.5</v>
      </c>
      <c r="CG45" s="139">
        <f>SUM(CG42:CG44)</f>
        <v>5293.75</v>
      </c>
      <c r="CH45" s="139">
        <f t="shared" ref="CH45:CK45" si="109">SUM(CH42:CH44)</f>
        <v>5823.1250000000009</v>
      </c>
      <c r="CI45" s="139">
        <f t="shared" si="109"/>
        <v>6114.2812500000009</v>
      </c>
      <c r="CJ45" s="139">
        <f t="shared" si="109"/>
        <v>6419.9953125000011</v>
      </c>
      <c r="CK45" s="139">
        <f t="shared" si="109"/>
        <v>6300</v>
      </c>
      <c r="CL45" s="139">
        <f t="shared" ref="CL45" si="110">SUM(CL42:CL44)</f>
        <v>6300</v>
      </c>
      <c r="CN45" s="139">
        <f>SUM(CN42:CN44)</f>
        <v>0</v>
      </c>
      <c r="CO45" s="139">
        <f>SUM(CO42:CO44)</f>
        <v>12480</v>
      </c>
      <c r="CP45" s="139">
        <f>SUM(CP42:CP44)</f>
        <v>15600</v>
      </c>
      <c r="CQ45" s="139">
        <f>SUM(CQ42:CQ44)</f>
        <v>17160</v>
      </c>
      <c r="CR45" s="139">
        <f>SUM(CR42:CR44)</f>
        <v>18876</v>
      </c>
      <c r="CS45" s="139">
        <f t="shared" ref="CS45:CV45" si="111">SUM(CS42:CS44)</f>
        <v>20763.600000000002</v>
      </c>
      <c r="CT45" s="139">
        <f t="shared" si="111"/>
        <v>21801.780000000002</v>
      </c>
      <c r="CU45" s="139">
        <f t="shared" si="111"/>
        <v>22891.869000000002</v>
      </c>
      <c r="CV45" s="139">
        <f t="shared" si="111"/>
        <v>23000</v>
      </c>
      <c r="CW45" s="139">
        <f t="shared" ref="CW45" si="112">SUM(CW42:CW44)</f>
        <v>23000</v>
      </c>
    </row>
    <row r="46" spans="2:102" ht="14.25" thickTop="1">
      <c r="B46" s="136" t="s">
        <v>98</v>
      </c>
      <c r="C46" s="137"/>
      <c r="D46" s="137">
        <f>D45-D38-C44</f>
        <v>0</v>
      </c>
      <c r="E46" s="137">
        <f>E45-E38-D44</f>
        <v>0</v>
      </c>
      <c r="F46" s="137">
        <f t="shared" ref="F46:M46" si="113">F45-F38-E44</f>
        <v>0</v>
      </c>
      <c r="G46" s="137">
        <f t="shared" si="113"/>
        <v>0</v>
      </c>
      <c r="H46" s="137">
        <f t="shared" si="113"/>
        <v>0</v>
      </c>
      <c r="I46" s="137">
        <f t="shared" si="113"/>
        <v>0</v>
      </c>
      <c r="J46" s="137">
        <f t="shared" si="113"/>
        <v>0</v>
      </c>
      <c r="K46" s="137">
        <f t="shared" si="113"/>
        <v>0</v>
      </c>
      <c r="L46" s="137">
        <f t="shared" si="113"/>
        <v>0</v>
      </c>
      <c r="M46" s="137">
        <f t="shared" si="113"/>
        <v>0</v>
      </c>
      <c r="O46" s="137">
        <f>O45-O38</f>
        <v>0</v>
      </c>
      <c r="P46" s="137">
        <f>P45-P38-O44</f>
        <v>0</v>
      </c>
      <c r="Q46" s="137">
        <f t="shared" ref="Q46" si="114">Q45-Q38-P44</f>
        <v>0</v>
      </c>
      <c r="R46" s="137">
        <f t="shared" ref="R46" si="115">R45-R38-Q44</f>
        <v>0</v>
      </c>
      <c r="S46" s="137">
        <f t="shared" ref="S46" si="116">S45-S38-R44</f>
        <v>0</v>
      </c>
      <c r="T46" s="137">
        <f t="shared" ref="T46" si="117">T45-T38-S44</f>
        <v>1.1368683772161603E-12</v>
      </c>
      <c r="U46" s="137">
        <f t="shared" ref="U46" si="118">U45-U38-T44</f>
        <v>0</v>
      </c>
      <c r="V46" s="137">
        <f t="shared" ref="V46" si="119">V45-V38-U44</f>
        <v>1.3642420526593924E-12</v>
      </c>
      <c r="W46" s="137">
        <f t="shared" ref="W46" si="120">W45-W38-V44</f>
        <v>1.3642420526593924E-12</v>
      </c>
      <c r="X46" s="137">
        <f t="shared" ref="X46" si="121">X45-X38-W44</f>
        <v>1.3642420526593924E-12</v>
      </c>
      <c r="Z46" s="137">
        <f>Z45-Z38</f>
        <v>0</v>
      </c>
      <c r="AA46" s="137">
        <f>AA45-AA38-Z44</f>
        <v>0</v>
      </c>
      <c r="AB46" s="137">
        <f t="shared" ref="AB46" si="122">AB45-AB38-AA44</f>
        <v>0</v>
      </c>
      <c r="AC46" s="137">
        <f t="shared" ref="AC46" si="123">AC45-AC38-AB44</f>
        <v>0</v>
      </c>
      <c r="AD46" s="137">
        <f t="shared" ref="AD46" si="124">AD45-AD38-AC44</f>
        <v>6.6791017161449417E-13</v>
      </c>
      <c r="AE46" s="137">
        <f t="shared" ref="AE46" si="125">AE45-AE38-AD44</f>
        <v>-2.3874235921539366E-12</v>
      </c>
      <c r="AF46" s="137">
        <f t="shared" ref="AF46" si="126">AF45-AF38-AE44</f>
        <v>3.4106051316484809E-12</v>
      </c>
      <c r="AG46" s="137">
        <f t="shared" ref="AG46" si="127">AG45-AG38-AF44</f>
        <v>0</v>
      </c>
      <c r="AH46" s="137">
        <f t="shared" ref="AH46" si="128">AH45-AH38-AG44</f>
        <v>0</v>
      </c>
      <c r="AI46" s="137">
        <f t="shared" ref="AI46" si="129">AI45-AI38-AH44</f>
        <v>0</v>
      </c>
      <c r="AJ46" s="112"/>
      <c r="AK46" s="137">
        <f>AK45-AK38</f>
        <v>0</v>
      </c>
      <c r="AL46" s="137">
        <f>AL45-AL38-AK44</f>
        <v>0</v>
      </c>
      <c r="AM46" s="137">
        <f t="shared" ref="AM46" si="130">AM45-AM38-AL44</f>
        <v>0</v>
      </c>
      <c r="AN46" s="137">
        <f t="shared" ref="AN46" si="131">AN45-AN38-AM44</f>
        <v>0</v>
      </c>
      <c r="AO46" s="137">
        <f t="shared" ref="AO46" si="132">AO45-AO38-AN44</f>
        <v>6.3837823915946501E-16</v>
      </c>
      <c r="AP46" s="137">
        <f t="shared" ref="AP46" si="133">AP45-AP38-AO44</f>
        <v>-1.3322676295501878E-15</v>
      </c>
      <c r="AQ46" s="137">
        <f t="shared" ref="AQ46" si="134">AQ45-AQ38-AP44</f>
        <v>1.5543122344752192E-15</v>
      </c>
      <c r="AR46" s="137">
        <f t="shared" ref="AR46" si="135">AR45-AR38-AQ44</f>
        <v>0</v>
      </c>
      <c r="AS46" s="137">
        <f t="shared" ref="AS46" si="136">AS45-AS38-AR44</f>
        <v>4.4408920985006262E-15</v>
      </c>
      <c r="AT46" s="137">
        <f t="shared" ref="AT46" si="137">AT45-AT38-AS44</f>
        <v>6.6613381477509392E-15</v>
      </c>
      <c r="AU46" s="112"/>
      <c r="AV46" s="137">
        <f>AV45-AV38</f>
        <v>0</v>
      </c>
      <c r="AW46" s="137">
        <f>AW45-AW38-AV44</f>
        <v>0</v>
      </c>
      <c r="AX46" s="137">
        <f t="shared" ref="AX46" si="138">AX45-AX38-AW44</f>
        <v>0</v>
      </c>
      <c r="AY46" s="137">
        <f t="shared" ref="AY46" si="139">AY45-AY38-AX44</f>
        <v>0</v>
      </c>
      <c r="AZ46" s="137">
        <f t="shared" ref="AZ46" si="140">AZ45-AZ38-AY44</f>
        <v>0</v>
      </c>
      <c r="BA46" s="137">
        <f t="shared" ref="BA46" si="141">BA45-BA38-AZ44</f>
        <v>0</v>
      </c>
      <c r="BB46" s="137">
        <f t="shared" ref="BB46" si="142">BB45-BB38-BA44</f>
        <v>0</v>
      </c>
      <c r="BC46" s="137">
        <f t="shared" ref="BC46" si="143">BC45-BC38-BB44</f>
        <v>7.1054273576010019E-14</v>
      </c>
      <c r="BD46" s="137">
        <f t="shared" ref="BD46" si="144">BD45-BD38-BC44</f>
        <v>-1.7053025658242404E-13</v>
      </c>
      <c r="BE46" s="137">
        <f t="shared" ref="BE46" si="145">BE45-BE38-BD44</f>
        <v>0</v>
      </c>
      <c r="BF46" s="112"/>
      <c r="BG46" s="137">
        <f>BG45-BG38</f>
        <v>0</v>
      </c>
      <c r="BH46" s="137">
        <f>BH45-BH38-BG44</f>
        <v>0</v>
      </c>
      <c r="BI46" s="137">
        <f t="shared" ref="BI46" si="146">BI45-BI38-BH44</f>
        <v>0</v>
      </c>
      <c r="BJ46" s="137">
        <f t="shared" ref="BJ46" si="147">BJ45-BJ38-BI44</f>
        <v>0</v>
      </c>
      <c r="BK46" s="137">
        <f t="shared" ref="BK46" si="148">BK45-BK38-BJ44</f>
        <v>0</v>
      </c>
      <c r="BL46" s="137">
        <f t="shared" ref="BL46" si="149">BL45-BL38-BK44</f>
        <v>0</v>
      </c>
      <c r="BM46" s="137">
        <f t="shared" ref="BM46" si="150">BM45-BM38-BL44</f>
        <v>0</v>
      </c>
      <c r="BN46" s="137">
        <f t="shared" ref="BN46" si="151">BN45-BN38-BM44</f>
        <v>0</v>
      </c>
      <c r="BO46" s="137">
        <f t="shared" ref="BO46" si="152">BO45-BO38-BN44</f>
        <v>0</v>
      </c>
      <c r="BP46" s="137">
        <f t="shared" ref="BP46" si="153">BP45-BP38-BO44</f>
        <v>0</v>
      </c>
      <c r="BQ46" s="112"/>
      <c r="BR46" s="137">
        <f>BR45-BR38</f>
        <v>0</v>
      </c>
      <c r="BS46" s="137">
        <f>BS45-BS38-BR44</f>
        <v>0</v>
      </c>
      <c r="BT46" s="137">
        <f t="shared" ref="BT46" si="154">BT45-BT38-BS44</f>
        <v>0</v>
      </c>
      <c r="BU46" s="137">
        <f t="shared" ref="BU46" si="155">BU45-BU38-BT44</f>
        <v>0</v>
      </c>
      <c r="BV46" s="137">
        <f t="shared" ref="BV46" si="156">BV45-BV38-BU44</f>
        <v>0</v>
      </c>
      <c r="BW46" s="137">
        <f t="shared" ref="BW46" si="157">BW45-BW38-BV44</f>
        <v>0</v>
      </c>
      <c r="BX46" s="137">
        <f t="shared" ref="BX46" si="158">BX45-BX38-BW44</f>
        <v>0</v>
      </c>
      <c r="BY46" s="137">
        <f t="shared" ref="BY46" si="159">BY45-BY38-BX44</f>
        <v>0</v>
      </c>
      <c r="BZ46" s="137">
        <f t="shared" ref="BZ46" si="160">BZ45-BZ38-BY44</f>
        <v>0</v>
      </c>
      <c r="CA46" s="137">
        <f t="shared" ref="CA46" si="161">CA45-CA38-BZ44</f>
        <v>0</v>
      </c>
      <c r="CB46" s="112"/>
      <c r="CC46" s="137">
        <f>CC45-CC38</f>
        <v>0</v>
      </c>
      <c r="CD46" s="137">
        <f>CD45-CD38-CC44</f>
        <v>0</v>
      </c>
      <c r="CE46" s="137">
        <f t="shared" ref="CE46" si="162">CE45-CE38-CD44</f>
        <v>0</v>
      </c>
      <c r="CF46" s="137">
        <f t="shared" ref="CF46" si="163">CF45-CF38-CE44</f>
        <v>0</v>
      </c>
      <c r="CG46" s="137">
        <f t="shared" ref="CG46" si="164">CG45-CG38-CF44</f>
        <v>0</v>
      </c>
      <c r="CH46" s="137">
        <f t="shared" ref="CH46" si="165">CH45-CH38-CG44</f>
        <v>0</v>
      </c>
      <c r="CI46" s="137">
        <f t="shared" ref="CI46" si="166">CI45-CI38-CH44</f>
        <v>0</v>
      </c>
      <c r="CJ46" s="137">
        <f t="shared" ref="CJ46" si="167">CJ45-CJ38-CI44</f>
        <v>0</v>
      </c>
      <c r="CK46" s="137">
        <f t="shared" ref="CK46" si="168">CK45-CK38-CJ44</f>
        <v>0</v>
      </c>
      <c r="CL46" s="137">
        <f t="shared" ref="CL46" si="169">CL45-CL38-CK44</f>
        <v>0</v>
      </c>
      <c r="CM46" s="112"/>
      <c r="CN46" s="137">
        <f>CN45-CN38</f>
        <v>0</v>
      </c>
      <c r="CO46" s="137">
        <f>CO45-CO38-CN44</f>
        <v>0</v>
      </c>
      <c r="CP46" s="137">
        <f t="shared" ref="CP46" si="170">CP45-CP38-CO44</f>
        <v>0</v>
      </c>
      <c r="CQ46" s="137">
        <f t="shared" ref="CQ46" si="171">CQ45-CQ38-CP44</f>
        <v>0</v>
      </c>
      <c r="CR46" s="137">
        <f t="shared" ref="CR46" si="172">CR45-CR38-CQ44</f>
        <v>0</v>
      </c>
      <c r="CS46" s="137">
        <f t="shared" ref="CS46" si="173">CS45-CS38-CR44</f>
        <v>0</v>
      </c>
      <c r="CT46" s="137">
        <f t="shared" ref="CT46" si="174">CT45-CT38-CS44</f>
        <v>0</v>
      </c>
      <c r="CU46" s="137">
        <f t="shared" ref="CU46" si="175">CU45-CU38-CT44</f>
        <v>0</v>
      </c>
      <c r="CV46" s="137">
        <f t="shared" ref="CV46" si="176">CV45-CV38-CU44</f>
        <v>0</v>
      </c>
      <c r="CW46" s="137">
        <f t="shared" ref="CW46" si="177">CW45-CW38-CV44</f>
        <v>0</v>
      </c>
    </row>
    <row r="47" spans="2:102" ht="3.75" customHeight="1">
      <c r="B47" s="110"/>
      <c r="C47" s="111"/>
      <c r="D47" s="111"/>
      <c r="E47" s="111"/>
      <c r="F47" s="111"/>
      <c r="G47" s="111"/>
      <c r="H47" s="111"/>
      <c r="I47" s="111"/>
      <c r="J47" s="111"/>
      <c r="K47" s="111"/>
      <c r="L47" s="111"/>
      <c r="M47" s="111"/>
      <c r="O47" s="111"/>
      <c r="P47" s="111"/>
      <c r="Q47" s="111"/>
      <c r="R47" s="111"/>
      <c r="S47" s="111"/>
      <c r="T47" s="111"/>
      <c r="U47" s="111"/>
      <c r="V47" s="111"/>
      <c r="W47" s="111"/>
      <c r="X47" s="111"/>
      <c r="Z47" s="111"/>
      <c r="AA47" s="111"/>
      <c r="AB47" s="111"/>
      <c r="AC47" s="111"/>
      <c r="AD47" s="111"/>
      <c r="AE47" s="111"/>
      <c r="AF47" s="111"/>
      <c r="AG47" s="111"/>
      <c r="AH47" s="111"/>
      <c r="AI47" s="111"/>
      <c r="AJ47" s="112"/>
      <c r="AK47" s="111"/>
      <c r="AL47" s="111"/>
      <c r="AM47" s="111"/>
      <c r="AN47" s="111"/>
      <c r="AO47" s="111"/>
      <c r="AP47" s="111"/>
      <c r="AQ47" s="111"/>
      <c r="AR47" s="111"/>
      <c r="AS47" s="111"/>
      <c r="AT47" s="111"/>
      <c r="AU47" s="112"/>
      <c r="AV47" s="111"/>
      <c r="AW47" s="111"/>
      <c r="AX47" s="111"/>
      <c r="AY47" s="111"/>
      <c r="AZ47" s="111"/>
      <c r="BA47" s="111"/>
      <c r="BB47" s="111"/>
      <c r="BC47" s="111"/>
      <c r="BD47" s="111"/>
      <c r="BE47" s="111"/>
      <c r="BF47" s="112"/>
      <c r="BG47" s="111"/>
      <c r="BH47" s="111"/>
      <c r="BI47" s="111"/>
      <c r="BJ47" s="111"/>
      <c r="BK47" s="111"/>
      <c r="BL47" s="111"/>
      <c r="BM47" s="111"/>
      <c r="BN47" s="111"/>
      <c r="BO47" s="111"/>
      <c r="BP47" s="111"/>
      <c r="BQ47" s="112"/>
      <c r="BR47" s="111"/>
      <c r="BS47" s="111"/>
      <c r="BT47" s="111"/>
      <c r="BU47" s="111"/>
      <c r="BV47" s="111"/>
      <c r="BW47" s="111"/>
      <c r="BX47" s="111"/>
      <c r="BY47" s="111"/>
      <c r="BZ47" s="111"/>
      <c r="CA47" s="111"/>
      <c r="CB47" s="112"/>
      <c r="CC47" s="111"/>
      <c r="CD47" s="111"/>
      <c r="CE47" s="111"/>
      <c r="CF47" s="111"/>
      <c r="CG47" s="111"/>
      <c r="CH47" s="111"/>
      <c r="CI47" s="111"/>
      <c r="CJ47" s="111"/>
      <c r="CK47" s="111"/>
      <c r="CL47" s="111"/>
      <c r="CM47" s="112"/>
      <c r="CN47" s="111"/>
      <c r="CO47" s="111"/>
      <c r="CP47" s="111"/>
      <c r="CQ47" s="111"/>
      <c r="CR47" s="111"/>
      <c r="CS47" s="111"/>
      <c r="CT47" s="111"/>
      <c r="CU47" s="111"/>
      <c r="CV47" s="111"/>
      <c r="CW47" s="111"/>
    </row>
    <row r="48" spans="2:102">
      <c r="B48" s="115" t="s">
        <v>522</v>
      </c>
      <c r="C48" s="116"/>
      <c r="D48" s="116">
        <f t="shared" ref="D48:M48" si="178">IFERROR((D23 * (D22/D38)) + (D10 * (D9/D38)) + (D14 * (D13/D38))  + ( D27 * (D26/D38)) + (D31 * (D30/D38)) + (D35 * (D34/D38)) + (D18 * (D17/D38)), 0)</f>
        <v>0</v>
      </c>
      <c r="E48" s="116">
        <f t="shared" si="178"/>
        <v>21.42</v>
      </c>
      <c r="F48" s="116">
        <f t="shared" si="178"/>
        <v>18.5</v>
      </c>
      <c r="G48" s="116">
        <f t="shared" si="178"/>
        <v>17.049999999999997</v>
      </c>
      <c r="H48" s="116">
        <f t="shared" si="178"/>
        <v>15.400000000000002</v>
      </c>
      <c r="I48" s="116">
        <f t="shared" si="178"/>
        <v>15.400000000000002</v>
      </c>
      <c r="J48" s="116">
        <f t="shared" si="178"/>
        <v>14.299999999999999</v>
      </c>
      <c r="K48" s="116">
        <f t="shared" si="178"/>
        <v>14.299999999999999</v>
      </c>
      <c r="L48" s="116">
        <f t="shared" si="178"/>
        <v>14.299999999999999</v>
      </c>
      <c r="M48" s="116">
        <f t="shared" si="178"/>
        <v>14.299999999999999</v>
      </c>
      <c r="O48" s="116">
        <f t="shared" ref="O48:X48" si="179">IFERROR((O23 * (O22/O38)) + (O10 * (O9/O38)) + (O14 * (O13/O38))  + ( O27 * (O26/O38)) + (O31 * (O30/O38)) + (O35 * (O34/O38)) + (O18 * (O17/O38)), 0)</f>
        <v>0</v>
      </c>
      <c r="P48" s="116">
        <f t="shared" si="179"/>
        <v>0</v>
      </c>
      <c r="Q48" s="116">
        <f t="shared" si="179"/>
        <v>0</v>
      </c>
      <c r="R48" s="116">
        <f t="shared" si="179"/>
        <v>15.5</v>
      </c>
      <c r="S48" s="116">
        <f t="shared" si="179"/>
        <v>14</v>
      </c>
      <c r="T48" s="116">
        <f t="shared" si="179"/>
        <v>13.635857382963978</v>
      </c>
      <c r="U48" s="116">
        <f t="shared" si="179"/>
        <v>13</v>
      </c>
      <c r="V48" s="116">
        <f t="shared" si="179"/>
        <v>13</v>
      </c>
      <c r="W48" s="116">
        <f t="shared" si="179"/>
        <v>13</v>
      </c>
      <c r="X48" s="116">
        <f t="shared" si="179"/>
        <v>13</v>
      </c>
      <c r="Z48" s="116">
        <f t="shared" ref="Z48:AI48" si="180">IFERROR((Z23 * (Z22/Z38)) + (Z10 * (Z9/Z38)) + (Z14 * (Z13/Z38))  + ( Z27 * (Z26/Z38)) + (Z31 * (Z30/Z38)) + (Z35 * (Z34/Z38)) + (Z18 * (Z17/Z38)), 0)</f>
        <v>0</v>
      </c>
      <c r="AA48" s="116">
        <f t="shared" si="180"/>
        <v>0</v>
      </c>
      <c r="AB48" s="116">
        <f t="shared" si="180"/>
        <v>0</v>
      </c>
      <c r="AC48" s="116">
        <f t="shared" si="180"/>
        <v>1</v>
      </c>
      <c r="AD48" s="116">
        <f t="shared" si="180"/>
        <v>1.2</v>
      </c>
      <c r="AE48" s="116">
        <f t="shared" si="180"/>
        <v>1.2000000000000002</v>
      </c>
      <c r="AF48" s="116">
        <f t="shared" si="180"/>
        <v>1.2</v>
      </c>
      <c r="AG48" s="116">
        <f t="shared" si="180"/>
        <v>1.2</v>
      </c>
      <c r="AH48" s="116">
        <f t="shared" si="180"/>
        <v>1.2</v>
      </c>
      <c r="AI48" s="116">
        <f t="shared" si="180"/>
        <v>1.2</v>
      </c>
      <c r="AK48" s="116">
        <f t="shared" ref="AK48:AT48" si="181">IFERROR((AK23 * (AK22/AK38)) + (AK10 * (AK9/AK38)) + (AK14 * (AK13/AK38))  + ( AK27 * (AK26/AK38)) + (AK31 * (AK30/AK38)) + (AK35 * (AK34/AK38)) + (AK18 * (AK17/AK38)), 0)</f>
        <v>0</v>
      </c>
      <c r="AL48" s="116">
        <f t="shared" si="181"/>
        <v>0</v>
      </c>
      <c r="AM48" s="116">
        <f t="shared" si="181"/>
        <v>0</v>
      </c>
      <c r="AN48" s="116">
        <f t="shared" si="181"/>
        <v>500</v>
      </c>
      <c r="AO48" s="116">
        <f t="shared" si="181"/>
        <v>500</v>
      </c>
      <c r="AP48" s="116">
        <f t="shared" si="181"/>
        <v>500</v>
      </c>
      <c r="AQ48" s="116">
        <f t="shared" si="181"/>
        <v>400</v>
      </c>
      <c r="AR48" s="116">
        <f t="shared" si="181"/>
        <v>375</v>
      </c>
      <c r="AS48" s="116">
        <f t="shared" si="181"/>
        <v>250</v>
      </c>
      <c r="AT48" s="116">
        <f t="shared" si="181"/>
        <v>200</v>
      </c>
      <c r="AV48" s="116">
        <f t="shared" ref="AV48:BE48" si="182">IFERROR((AV23 * (AV22/AV38)) + (AV10 * (AV9/AV38)) + (AV14 * (AV13/AV38))  + ( AV27 * (AV26/AV38)) + (AV31 * (AV30/AV38)) + (AV35 * (AV34/AV38)) + (AV18 * (AV17/AV38)), 0)</f>
        <v>0</v>
      </c>
      <c r="AW48" s="116">
        <f t="shared" si="182"/>
        <v>0</v>
      </c>
      <c r="AX48" s="116">
        <f t="shared" si="182"/>
        <v>0</v>
      </c>
      <c r="AY48" s="116">
        <f t="shared" si="182"/>
        <v>0</v>
      </c>
      <c r="AZ48" s="116">
        <f t="shared" si="182"/>
        <v>0</v>
      </c>
      <c r="BA48" s="116">
        <f t="shared" si="182"/>
        <v>50</v>
      </c>
      <c r="BB48" s="116">
        <f t="shared" si="182"/>
        <v>50</v>
      </c>
      <c r="BC48" s="116">
        <f t="shared" si="182"/>
        <v>50</v>
      </c>
      <c r="BD48" s="116">
        <f t="shared" si="182"/>
        <v>50</v>
      </c>
      <c r="BE48" s="116">
        <f t="shared" si="182"/>
        <v>50</v>
      </c>
      <c r="BF48" s="116"/>
      <c r="BG48" s="116">
        <f t="shared" ref="BG48:BP48" si="183">BG14</f>
        <v>0</v>
      </c>
      <c r="BH48" s="116">
        <f t="shared" si="183"/>
        <v>45.918367346938773</v>
      </c>
      <c r="BI48" s="116">
        <f t="shared" si="183"/>
        <v>45.918367346938773</v>
      </c>
      <c r="BJ48" s="116">
        <f t="shared" si="183"/>
        <v>45.918367346938773</v>
      </c>
      <c r="BK48" s="116">
        <f t="shared" si="183"/>
        <v>45.918367346938773</v>
      </c>
      <c r="BL48" s="116">
        <f t="shared" si="183"/>
        <v>45.918367346938773</v>
      </c>
      <c r="BM48" s="116">
        <f t="shared" si="183"/>
        <v>45.918367346938773</v>
      </c>
      <c r="BN48" s="116">
        <f t="shared" si="183"/>
        <v>45.918367346938773</v>
      </c>
      <c r="BO48" s="116">
        <f t="shared" si="183"/>
        <v>45.918367346938773</v>
      </c>
      <c r="BP48" s="116">
        <f t="shared" si="183"/>
        <v>45.918367346938773</v>
      </c>
      <c r="BR48" s="116">
        <f t="shared" ref="BR48:CA48" si="184">BR14</f>
        <v>0</v>
      </c>
      <c r="BS48" s="116">
        <f t="shared" si="184"/>
        <v>24.385185185185186</v>
      </c>
      <c r="BT48" s="116">
        <f t="shared" si="184"/>
        <v>24.385185185185186</v>
      </c>
      <c r="BU48" s="116">
        <f t="shared" si="184"/>
        <v>24.385185185185186</v>
      </c>
      <c r="BV48" s="116">
        <f t="shared" si="184"/>
        <v>24.385185185185186</v>
      </c>
      <c r="BW48" s="116">
        <f t="shared" si="184"/>
        <v>24.385185185185186</v>
      </c>
      <c r="BX48" s="116">
        <f t="shared" si="184"/>
        <v>24.385185185185186</v>
      </c>
      <c r="BY48" s="116">
        <f t="shared" si="184"/>
        <v>24.385185185185186</v>
      </c>
      <c r="BZ48" s="116">
        <f t="shared" si="184"/>
        <v>24.385185185185186</v>
      </c>
      <c r="CA48" s="116">
        <f t="shared" si="184"/>
        <v>24.385185185185186</v>
      </c>
      <c r="CC48" s="116">
        <f t="shared" ref="CC48:CL48" si="185">CC14</f>
        <v>0</v>
      </c>
      <c r="CD48" s="116">
        <f t="shared" si="185"/>
        <v>7.9</v>
      </c>
      <c r="CE48" s="116">
        <f t="shared" si="185"/>
        <v>7.9</v>
      </c>
      <c r="CF48" s="116">
        <f t="shared" si="185"/>
        <v>7.9</v>
      </c>
      <c r="CG48" s="116">
        <f t="shared" si="185"/>
        <v>7.9</v>
      </c>
      <c r="CH48" s="116">
        <f t="shared" si="185"/>
        <v>7.9</v>
      </c>
      <c r="CI48" s="116">
        <f t="shared" si="185"/>
        <v>7.9</v>
      </c>
      <c r="CJ48" s="116">
        <f t="shared" si="185"/>
        <v>7.9</v>
      </c>
      <c r="CK48" s="116">
        <f t="shared" si="185"/>
        <v>7.9</v>
      </c>
      <c r="CL48" s="116">
        <f t="shared" si="185"/>
        <v>7.9</v>
      </c>
      <c r="CN48" s="116">
        <f t="shared" ref="CN48:CW48" si="186">CN14</f>
        <v>0</v>
      </c>
      <c r="CO48" s="116">
        <f t="shared" si="186"/>
        <v>0.41</v>
      </c>
      <c r="CP48" s="116">
        <f t="shared" si="186"/>
        <v>0.41</v>
      </c>
      <c r="CQ48" s="116">
        <f t="shared" si="186"/>
        <v>0.41</v>
      </c>
      <c r="CR48" s="116">
        <f t="shared" si="186"/>
        <v>0.41</v>
      </c>
      <c r="CS48" s="116">
        <f t="shared" si="186"/>
        <v>0.41</v>
      </c>
      <c r="CT48" s="116">
        <f t="shared" si="186"/>
        <v>0.41</v>
      </c>
      <c r="CU48" s="116">
        <f t="shared" si="186"/>
        <v>0.41</v>
      </c>
      <c r="CV48" s="116">
        <f t="shared" si="186"/>
        <v>0.41</v>
      </c>
      <c r="CW48" s="116">
        <f t="shared" si="186"/>
        <v>0.41</v>
      </c>
    </row>
    <row r="49" spans="1:101">
      <c r="B49" s="19" t="s">
        <v>116</v>
      </c>
      <c r="C49" s="102"/>
      <c r="D49" s="102">
        <f t="shared" ref="D49:M49" si="187">IFERROR((D24 * (D22/D38)) + (D11 * (D9/D38)) + (D15 * (D13/D38))  + (D32 * (D30/D38)) + (D28 * (D26/D38)) + (D19 * (D17/D38)), 0)</f>
        <v>0</v>
      </c>
      <c r="E49" s="102">
        <f t="shared" si="187"/>
        <v>81.694852941176478</v>
      </c>
      <c r="F49" s="102">
        <f t="shared" si="187"/>
        <v>42.912079510703364</v>
      </c>
      <c r="G49" s="102">
        <f t="shared" si="187"/>
        <v>26.108220299128455</v>
      </c>
      <c r="H49" s="102">
        <f t="shared" si="187"/>
        <v>16.782702012100124</v>
      </c>
      <c r="I49" s="102">
        <f t="shared" si="187"/>
        <v>9.9194137142444383</v>
      </c>
      <c r="J49" s="102">
        <f t="shared" si="187"/>
        <v>9.5142866697176292</v>
      </c>
      <c r="K49" s="102">
        <f t="shared" si="187"/>
        <v>9.4220507996865397</v>
      </c>
      <c r="L49" s="102">
        <f t="shared" si="187"/>
        <v>9.3434013498009705</v>
      </c>
      <c r="M49" s="102">
        <f t="shared" si="187"/>
        <v>9.2771969950945348</v>
      </c>
      <c r="O49" s="102">
        <f t="shared" ref="O49:X49" si="188">IFERROR((O24 * (O22/O38)) + (O11 * (O9/O38)) + (O15 * (O13/O38))  + (O32 * (O30/O38)) + (O28 * (O26/O38)) + (O19 * (O17/O38)), 0)</f>
        <v>0</v>
      </c>
      <c r="P49" s="102">
        <f t="shared" si="188"/>
        <v>0</v>
      </c>
      <c r="Q49" s="102">
        <f t="shared" si="188"/>
        <v>0</v>
      </c>
      <c r="R49" s="102">
        <f t="shared" si="188"/>
        <v>9.9218282647282585</v>
      </c>
      <c r="S49" s="102">
        <f t="shared" si="188"/>
        <v>8.8565371113238172</v>
      </c>
      <c r="T49" s="102">
        <f t="shared" si="188"/>
        <v>8.4551969178493032</v>
      </c>
      <c r="U49" s="102">
        <f t="shared" si="188"/>
        <v>8.2500904543729021</v>
      </c>
      <c r="V49" s="102">
        <f t="shared" si="188"/>
        <v>8.1606823692090682</v>
      </c>
      <c r="W49" s="102">
        <f t="shared" si="188"/>
        <v>8.0798201024126595</v>
      </c>
      <c r="X49" s="102">
        <f t="shared" si="188"/>
        <v>8.0067443261347346</v>
      </c>
      <c r="Z49" s="102">
        <f t="shared" ref="Z49:AI49" si="189">IFERROR((Z24 * (Z22/Z38)) + (Z11 * (Z9/Z38)) + (Z15 * (Z13/Z38))  + (Z32 * (Z30/Z38)) + (Z28 * (Z26/Z38)) + (Z19 * (Z17/Z38)), 0)</f>
        <v>0</v>
      </c>
      <c r="AA49" s="102">
        <f t="shared" si="189"/>
        <v>0</v>
      </c>
      <c r="AB49" s="102">
        <f t="shared" si="189"/>
        <v>0</v>
      </c>
      <c r="AC49" s="102">
        <f t="shared" si="189"/>
        <v>0.26</v>
      </c>
      <c r="AD49" s="102">
        <f t="shared" si="189"/>
        <v>0.38454961832061069</v>
      </c>
      <c r="AE49" s="102">
        <f t="shared" si="189"/>
        <v>0.38298195761631793</v>
      </c>
      <c r="AF49" s="102">
        <f t="shared" si="189"/>
        <v>0.37434555997167418</v>
      </c>
      <c r="AG49" s="102">
        <f t="shared" si="189"/>
        <v>0.37434555997167418</v>
      </c>
      <c r="AH49" s="102">
        <f t="shared" si="189"/>
        <v>0.37434555997167418</v>
      </c>
      <c r="AI49" s="102">
        <f t="shared" si="189"/>
        <v>0.37434555997167418</v>
      </c>
      <c r="AJ49" s="102"/>
      <c r="AK49" s="102">
        <f t="shared" ref="AK49:AT49" si="190">IFERROR((AK24 * (AK22/AK38)) + (AK11 * (AK9/AK38)) + (AK15 * (AK13/AK38))  + (AK32 * (AK30/AK38)) + (AK28 * (AK26/AK38)) + (AK19 * (AK17/AK38)), 0)</f>
        <v>0</v>
      </c>
      <c r="AL49" s="102">
        <f t="shared" si="190"/>
        <v>0</v>
      </c>
      <c r="AM49" s="102">
        <f t="shared" si="190"/>
        <v>0</v>
      </c>
      <c r="AN49" s="102">
        <f t="shared" si="190"/>
        <v>500</v>
      </c>
      <c r="AO49" s="102">
        <f t="shared" si="190"/>
        <v>400</v>
      </c>
      <c r="AP49" s="102">
        <f t="shared" si="190"/>
        <v>207.67414585578194</v>
      </c>
      <c r="AQ49" s="102">
        <f t="shared" si="190"/>
        <v>196.42267908263167</v>
      </c>
      <c r="AR49" s="102">
        <f t="shared" si="190"/>
        <v>187.77709473652362</v>
      </c>
      <c r="AS49" s="102">
        <f t="shared" si="190"/>
        <v>180.95436211791917</v>
      </c>
      <c r="AT49" s="102">
        <f t="shared" si="190"/>
        <v>180.26868604571621</v>
      </c>
      <c r="AU49" s="102"/>
      <c r="AV49" s="102">
        <f t="shared" ref="AV49:BE49" si="191">IFERROR((AV24 * (AV22/AV38)) + (AV11 * (AV9/AV38)) + (AV15 * (AV13/AV38))  + (AV32 * (AV30/AV38)) + (AV28 * (AV26/AV38)) + (AV19 * (AV17/AV38)), 0)</f>
        <v>0</v>
      </c>
      <c r="AW49" s="102">
        <f t="shared" si="191"/>
        <v>0</v>
      </c>
      <c r="AX49" s="102">
        <f t="shared" si="191"/>
        <v>0</v>
      </c>
      <c r="AY49" s="102">
        <f t="shared" si="191"/>
        <v>0</v>
      </c>
      <c r="AZ49" s="102">
        <f t="shared" si="191"/>
        <v>0</v>
      </c>
      <c r="BA49" s="102">
        <f t="shared" si="191"/>
        <v>25.702210247459888</v>
      </c>
      <c r="BB49" s="102">
        <f t="shared" si="191"/>
        <v>32.967428136156705</v>
      </c>
      <c r="BC49" s="102">
        <f t="shared" si="191"/>
        <v>32.947168502827488</v>
      </c>
      <c r="BD49" s="102">
        <f t="shared" si="191"/>
        <v>33.430957204597831</v>
      </c>
      <c r="BE49" s="102">
        <f t="shared" si="191"/>
        <v>32.976258308630698</v>
      </c>
      <c r="BF49" s="102"/>
      <c r="BG49" s="102">
        <f t="shared" ref="BG49:BP49" si="192">BG15</f>
        <v>0</v>
      </c>
      <c r="BH49" s="102">
        <f t="shared" si="192"/>
        <v>29.85</v>
      </c>
      <c r="BI49" s="102">
        <f t="shared" si="192"/>
        <v>29.85</v>
      </c>
      <c r="BJ49" s="102">
        <f t="shared" si="192"/>
        <v>29.85</v>
      </c>
      <c r="BK49" s="102">
        <f t="shared" si="192"/>
        <v>29.85</v>
      </c>
      <c r="BL49" s="102">
        <f t="shared" si="192"/>
        <v>29.85</v>
      </c>
      <c r="BM49" s="102">
        <f t="shared" si="192"/>
        <v>29.85</v>
      </c>
      <c r="BN49" s="102">
        <f t="shared" si="192"/>
        <v>29.85</v>
      </c>
      <c r="BO49" s="102">
        <f t="shared" si="192"/>
        <v>29.85</v>
      </c>
      <c r="BP49" s="102">
        <f t="shared" si="192"/>
        <v>29.85</v>
      </c>
      <c r="BQ49" s="102"/>
      <c r="BR49" s="102">
        <f t="shared" ref="BR49:CA49" si="193">BR15</f>
        <v>0</v>
      </c>
      <c r="BS49" s="102">
        <f t="shared" si="193"/>
        <v>15.85</v>
      </c>
      <c r="BT49" s="102">
        <f t="shared" si="193"/>
        <v>15.85</v>
      </c>
      <c r="BU49" s="102">
        <f t="shared" si="193"/>
        <v>15.85</v>
      </c>
      <c r="BV49" s="102">
        <f t="shared" si="193"/>
        <v>15.85</v>
      </c>
      <c r="BW49" s="102">
        <f t="shared" si="193"/>
        <v>15.85</v>
      </c>
      <c r="BX49" s="102">
        <f t="shared" si="193"/>
        <v>15.85</v>
      </c>
      <c r="BY49" s="102">
        <f t="shared" si="193"/>
        <v>15.85</v>
      </c>
      <c r="BZ49" s="102">
        <f t="shared" si="193"/>
        <v>15.85</v>
      </c>
      <c r="CA49" s="102">
        <f t="shared" si="193"/>
        <v>15.85</v>
      </c>
      <c r="CB49" s="102"/>
      <c r="CC49" s="102">
        <f t="shared" ref="CC49:CL49" si="194">CC15</f>
        <v>0</v>
      </c>
      <c r="CD49" s="102">
        <f t="shared" si="194"/>
        <v>5.14</v>
      </c>
      <c r="CE49" s="102">
        <f t="shared" si="194"/>
        <v>5.14</v>
      </c>
      <c r="CF49" s="102">
        <f t="shared" si="194"/>
        <v>5.14</v>
      </c>
      <c r="CG49" s="102">
        <f t="shared" si="194"/>
        <v>5.14</v>
      </c>
      <c r="CH49" s="102">
        <f t="shared" si="194"/>
        <v>5.14</v>
      </c>
      <c r="CI49" s="102">
        <f t="shared" si="194"/>
        <v>5.14</v>
      </c>
      <c r="CJ49" s="102">
        <f t="shared" si="194"/>
        <v>5.14</v>
      </c>
      <c r="CK49" s="102">
        <f t="shared" si="194"/>
        <v>5.14</v>
      </c>
      <c r="CL49" s="102">
        <f t="shared" si="194"/>
        <v>5.14</v>
      </c>
      <c r="CM49" s="102"/>
      <c r="CN49" s="102">
        <f t="shared" ref="CN49:CW49" si="195">CN15</f>
        <v>0</v>
      </c>
      <c r="CO49" s="102">
        <f t="shared" si="195"/>
        <v>0.27</v>
      </c>
      <c r="CP49" s="102">
        <f t="shared" si="195"/>
        <v>0.27</v>
      </c>
      <c r="CQ49" s="102">
        <f t="shared" si="195"/>
        <v>0.27</v>
      </c>
      <c r="CR49" s="102">
        <f t="shared" si="195"/>
        <v>0.27</v>
      </c>
      <c r="CS49" s="102">
        <f t="shared" si="195"/>
        <v>0.27</v>
      </c>
      <c r="CT49" s="102">
        <f t="shared" si="195"/>
        <v>0.27</v>
      </c>
      <c r="CU49" s="102">
        <f t="shared" si="195"/>
        <v>0.27</v>
      </c>
      <c r="CV49" s="102">
        <f t="shared" si="195"/>
        <v>0.27</v>
      </c>
      <c r="CW49" s="102">
        <f t="shared" si="195"/>
        <v>0.27</v>
      </c>
    </row>
    <row r="50" spans="1:101" ht="3.75" customHeight="1">
      <c r="C50" s="14"/>
      <c r="D50" s="14"/>
      <c r="E50" s="14"/>
      <c r="F50" s="14"/>
      <c r="G50" s="14"/>
      <c r="H50" s="14"/>
      <c r="I50" s="14"/>
      <c r="J50" s="14"/>
      <c r="K50" s="14"/>
      <c r="L50" s="14"/>
      <c r="M50" s="14"/>
      <c r="O50" s="14"/>
      <c r="P50" s="14"/>
      <c r="Q50" s="14"/>
      <c r="R50" s="14"/>
      <c r="S50" s="14"/>
      <c r="T50" s="14"/>
      <c r="U50" s="14"/>
      <c r="V50" s="14"/>
      <c r="W50" s="14"/>
      <c r="X50" s="14"/>
      <c r="Z50" s="14"/>
      <c r="AA50" s="14"/>
      <c r="AB50" s="14"/>
      <c r="AC50" s="14"/>
      <c r="AD50" s="14"/>
      <c r="AE50" s="14"/>
      <c r="AF50" s="14"/>
      <c r="AG50" s="14"/>
      <c r="AH50" s="14"/>
      <c r="AI50" s="14"/>
      <c r="AK50" s="14"/>
      <c r="AL50" s="14"/>
      <c r="AM50" s="14"/>
      <c r="AN50" s="14"/>
      <c r="AO50" s="14"/>
      <c r="AP50" s="14"/>
      <c r="AQ50" s="14"/>
      <c r="AR50" s="14"/>
      <c r="AS50" s="14"/>
      <c r="AT50" s="14"/>
      <c r="AV50" s="14"/>
      <c r="AW50" s="14"/>
      <c r="AX50" s="14"/>
      <c r="AY50" s="14"/>
      <c r="AZ50" s="14"/>
      <c r="BA50" s="14"/>
      <c r="BB50" s="14"/>
      <c r="BC50" s="14"/>
      <c r="BD50" s="14"/>
      <c r="BE50" s="14"/>
      <c r="BG50" s="14"/>
      <c r="BH50" s="14"/>
      <c r="BI50" s="14"/>
      <c r="BJ50" s="14"/>
      <c r="BK50" s="14"/>
      <c r="BL50" s="14"/>
      <c r="BM50" s="14"/>
      <c r="BN50" s="14"/>
      <c r="BO50" s="14"/>
      <c r="BP50" s="14"/>
      <c r="BR50" s="14"/>
      <c r="BS50" s="14"/>
      <c r="BT50" s="14"/>
      <c r="BU50" s="14"/>
      <c r="BV50" s="14"/>
      <c r="BW50" s="14"/>
      <c r="BX50" s="14"/>
      <c r="BY50" s="14"/>
      <c r="BZ50" s="14"/>
      <c r="CA50" s="14"/>
      <c r="CC50" s="14"/>
      <c r="CD50" s="14"/>
      <c r="CE50" s="14"/>
      <c r="CF50" s="14"/>
      <c r="CG50" s="14"/>
      <c r="CH50" s="14"/>
      <c r="CI50" s="14"/>
      <c r="CJ50" s="14"/>
      <c r="CK50" s="14"/>
      <c r="CL50" s="14"/>
      <c r="CN50" s="14"/>
      <c r="CO50" s="14"/>
      <c r="CP50" s="14"/>
      <c r="CQ50" s="14"/>
      <c r="CR50" s="14"/>
      <c r="CS50" s="14"/>
      <c r="CT50" s="14"/>
      <c r="CU50" s="14"/>
      <c r="CV50" s="14"/>
      <c r="CW50" s="14"/>
    </row>
    <row r="51" spans="1:101" s="100" customFormat="1">
      <c r="B51" s="120" t="s">
        <v>117</v>
      </c>
      <c r="C51" s="119"/>
      <c r="D51" s="119">
        <f t="shared" ref="D51:M51" si="196">D42*D48</f>
        <v>0</v>
      </c>
      <c r="E51" s="119">
        <f t="shared" si="196"/>
        <v>9372.8638356164392</v>
      </c>
      <c r="F51" s="119">
        <f t="shared" si="196"/>
        <v>20764.602739726026</v>
      </c>
      <c r="G51" s="119">
        <f t="shared" si="196"/>
        <v>32328.210829109586</v>
      </c>
      <c r="H51" s="119">
        <f t="shared" si="196"/>
        <v>57416.879224657547</v>
      </c>
      <c r="I51" s="119">
        <f t="shared" si="196"/>
        <v>71101.39892493152</v>
      </c>
      <c r="J51" s="119">
        <f t="shared" si="196"/>
        <v>70762.092183561632</v>
      </c>
      <c r="K51" s="119">
        <f t="shared" si="196"/>
        <v>71055.92779999999</v>
      </c>
      <c r="L51" s="119">
        <f t="shared" si="196"/>
        <v>71055.92779999999</v>
      </c>
      <c r="M51" s="119">
        <f t="shared" si="196"/>
        <v>71055.92779999999</v>
      </c>
      <c r="N51" s="8"/>
      <c r="O51" s="119">
        <f t="shared" ref="O51:X51" si="197">O42*O48</f>
        <v>0</v>
      </c>
      <c r="P51" s="119">
        <f t="shared" si="197"/>
        <v>0</v>
      </c>
      <c r="Q51" s="119">
        <f t="shared" si="197"/>
        <v>0</v>
      </c>
      <c r="R51" s="119">
        <f t="shared" si="197"/>
        <v>25639.573743150679</v>
      </c>
      <c r="S51" s="119">
        <f t="shared" si="197"/>
        <v>134677.11833972603</v>
      </c>
      <c r="T51" s="119">
        <f t="shared" si="197"/>
        <v>284373.22208164557</v>
      </c>
      <c r="U51" s="119">
        <f t="shared" si="197"/>
        <v>292799.23613698623</v>
      </c>
      <c r="V51" s="119">
        <f t="shared" si="197"/>
        <v>293600.60599999997</v>
      </c>
      <c r="W51" s="119">
        <f t="shared" si="197"/>
        <v>293600.60599999997</v>
      </c>
      <c r="X51" s="119">
        <f t="shared" si="197"/>
        <v>293600.60599999997</v>
      </c>
      <c r="Y51" s="8"/>
      <c r="Z51" s="119">
        <f t="shared" ref="Z51:AI51" si="198">Z42*Z48</f>
        <v>0</v>
      </c>
      <c r="AA51" s="119">
        <f t="shared" si="198"/>
        <v>0</v>
      </c>
      <c r="AB51" s="119">
        <f t="shared" si="198"/>
        <v>0</v>
      </c>
      <c r="AC51" s="119">
        <f t="shared" si="198"/>
        <v>4165.4495917808217</v>
      </c>
      <c r="AD51" s="119">
        <f t="shared" si="198"/>
        <v>25085.896342356158</v>
      </c>
      <c r="AE51" s="119">
        <f t="shared" si="198"/>
        <v>51403.837326904104</v>
      </c>
      <c r="AF51" s="119">
        <f t="shared" si="198"/>
        <v>56097.579498082188</v>
      </c>
      <c r="AG51" s="119">
        <f t="shared" si="198"/>
        <v>56209.360319999992</v>
      </c>
      <c r="AH51" s="119">
        <f t="shared" si="198"/>
        <v>56209.360319999992</v>
      </c>
      <c r="AI51" s="119">
        <f t="shared" si="198"/>
        <v>56209.360319999992</v>
      </c>
      <c r="AJ51" s="8"/>
      <c r="AK51" s="119">
        <f t="shared" ref="AK51:AT51" si="199">AK42*AK48</f>
        <v>0</v>
      </c>
      <c r="AL51" s="119">
        <f t="shared" si="199"/>
        <v>0</v>
      </c>
      <c r="AM51" s="119">
        <f t="shared" si="199"/>
        <v>0</v>
      </c>
      <c r="AN51" s="119">
        <f t="shared" si="199"/>
        <v>292.46575342465752</v>
      </c>
      <c r="AO51" s="119">
        <f t="shared" si="199"/>
        <v>1783.5616438356165</v>
      </c>
      <c r="AP51" s="119">
        <f t="shared" si="199"/>
        <v>9863.013698630135</v>
      </c>
      <c r="AQ51" s="119">
        <f t="shared" si="199"/>
        <v>11835.616438356165</v>
      </c>
      <c r="AR51" s="119">
        <f t="shared" si="199"/>
        <v>16643.835616438359</v>
      </c>
      <c r="AS51" s="119">
        <f t="shared" si="199"/>
        <v>16643.835616438355</v>
      </c>
      <c r="AT51" s="119">
        <f t="shared" si="199"/>
        <v>14147.260273972603</v>
      </c>
      <c r="AU51" s="8"/>
      <c r="AV51" s="119">
        <f t="shared" ref="AV51:BE51" si="200">AV42*AV48</f>
        <v>0</v>
      </c>
      <c r="AW51" s="119">
        <f t="shared" si="200"/>
        <v>0</v>
      </c>
      <c r="AX51" s="119">
        <f t="shared" si="200"/>
        <v>0</v>
      </c>
      <c r="AY51" s="119">
        <f t="shared" si="200"/>
        <v>0</v>
      </c>
      <c r="AZ51" s="119">
        <f t="shared" si="200"/>
        <v>0</v>
      </c>
      <c r="BA51" s="119">
        <f t="shared" si="200"/>
        <v>19178.082191780821</v>
      </c>
      <c r="BB51" s="119">
        <f t="shared" si="200"/>
        <v>55958.904109589035</v>
      </c>
      <c r="BC51" s="119">
        <f t="shared" si="200"/>
        <v>86267.123287671231</v>
      </c>
      <c r="BD51" s="119">
        <f t="shared" si="200"/>
        <v>101883.56164383562</v>
      </c>
      <c r="BE51" s="119">
        <f t="shared" si="200"/>
        <v>107414.38356164383</v>
      </c>
      <c r="BF51" s="8"/>
      <c r="BG51" s="119">
        <f t="shared" ref="BG51:BP51" si="201">BG42*BG48</f>
        <v>0</v>
      </c>
      <c r="BH51" s="119">
        <f t="shared" si="201"/>
        <v>9000</v>
      </c>
      <c r="BI51" s="119">
        <f t="shared" si="201"/>
        <v>9180</v>
      </c>
      <c r="BJ51" s="119">
        <f t="shared" si="201"/>
        <v>9363.6</v>
      </c>
      <c r="BK51" s="119">
        <f t="shared" si="201"/>
        <v>9550.8720000000012</v>
      </c>
      <c r="BL51" s="119">
        <f t="shared" si="201"/>
        <v>9741.8894400000008</v>
      </c>
      <c r="BM51" s="119">
        <f t="shared" si="201"/>
        <v>9936.7272288000004</v>
      </c>
      <c r="BN51" s="119">
        <f t="shared" si="201"/>
        <v>10234.829045664001</v>
      </c>
      <c r="BO51" s="119">
        <f t="shared" si="201"/>
        <v>10541.873917033921</v>
      </c>
      <c r="BP51" s="119">
        <f t="shared" si="201"/>
        <v>10858.130134544937</v>
      </c>
      <c r="BQ51" s="8"/>
      <c r="BR51" s="119">
        <f t="shared" ref="BR51:CA51" si="202">BR42*BR48</f>
        <v>0</v>
      </c>
      <c r="BS51" s="119">
        <f t="shared" si="202"/>
        <v>3292</v>
      </c>
      <c r="BT51" s="119">
        <f t="shared" si="202"/>
        <v>3357.8399999999997</v>
      </c>
      <c r="BU51" s="119">
        <f t="shared" si="202"/>
        <v>3424.9967999999994</v>
      </c>
      <c r="BV51" s="119">
        <f t="shared" si="202"/>
        <v>3493.4967359999996</v>
      </c>
      <c r="BW51" s="119">
        <f t="shared" si="202"/>
        <v>3563.3666707199995</v>
      </c>
      <c r="BX51" s="119">
        <f t="shared" si="202"/>
        <v>3634.6340041343997</v>
      </c>
      <c r="BY51" s="119">
        <f t="shared" si="202"/>
        <v>3743.6730242584317</v>
      </c>
      <c r="BZ51" s="119">
        <f t="shared" si="202"/>
        <v>3855.9832149861854</v>
      </c>
      <c r="CA51" s="119">
        <f t="shared" si="202"/>
        <v>3971.6627114357711</v>
      </c>
      <c r="CB51" s="8"/>
      <c r="CC51" s="119">
        <f t="shared" ref="CC51:CL51" si="203">CC42*CC48</f>
        <v>0</v>
      </c>
      <c r="CD51" s="119">
        <f t="shared" si="203"/>
        <v>27650</v>
      </c>
      <c r="CE51" s="119">
        <f t="shared" si="203"/>
        <v>34562.5</v>
      </c>
      <c r="CF51" s="119">
        <f t="shared" si="203"/>
        <v>38018.75</v>
      </c>
      <c r="CG51" s="119">
        <f t="shared" si="203"/>
        <v>41820.625</v>
      </c>
      <c r="CH51" s="119">
        <f t="shared" si="203"/>
        <v>46002.687500000007</v>
      </c>
      <c r="CI51" s="119">
        <f t="shared" si="203"/>
        <v>48302.821875000009</v>
      </c>
      <c r="CJ51" s="119">
        <f t="shared" si="203"/>
        <v>50717.962968750013</v>
      </c>
      <c r="CK51" s="119">
        <f t="shared" si="203"/>
        <v>49770</v>
      </c>
      <c r="CL51" s="119">
        <f t="shared" si="203"/>
        <v>49770</v>
      </c>
      <c r="CM51" s="8"/>
      <c r="CN51" s="119">
        <f t="shared" ref="CN51:CW51" si="204">CN42*CN48</f>
        <v>0</v>
      </c>
      <c r="CO51" s="119">
        <f t="shared" si="204"/>
        <v>5116.7999999999993</v>
      </c>
      <c r="CP51" s="119">
        <f t="shared" si="204"/>
        <v>6396</v>
      </c>
      <c r="CQ51" s="119">
        <f t="shared" si="204"/>
        <v>7035.5999999999995</v>
      </c>
      <c r="CR51" s="119">
        <f t="shared" si="204"/>
        <v>7739.16</v>
      </c>
      <c r="CS51" s="119">
        <f t="shared" si="204"/>
        <v>8513.0760000000009</v>
      </c>
      <c r="CT51" s="119">
        <f t="shared" si="204"/>
        <v>8938.729800000001</v>
      </c>
      <c r="CU51" s="119">
        <f t="shared" si="204"/>
        <v>9385.666290000001</v>
      </c>
      <c r="CV51" s="119">
        <f t="shared" si="204"/>
        <v>9430</v>
      </c>
      <c r="CW51" s="119">
        <f t="shared" si="204"/>
        <v>9430</v>
      </c>
    </row>
    <row r="52" spans="1:101">
      <c r="B52" s="118" t="s">
        <v>118</v>
      </c>
      <c r="C52" s="20"/>
      <c r="D52" s="20">
        <f>(D42*IF(D49&gt;D48,D48,D49)+(IF(D49&gt;D48,D42*(D49-D48),0))+(IF(D49&gt;D48,D44*(D49-D48),0)))</f>
        <v>0</v>
      </c>
      <c r="E52" s="20">
        <f>(E42*IF(E49&gt;E48,E48,E49)+(IF(E49&gt;E48,E42*(E49-E48),0))+(IF(E49&gt;E48,E44*(E49-E48),0)))</f>
        <v>41137.711335616441</v>
      </c>
      <c r="F52" s="20">
        <f t="shared" ref="F52:M52" si="205">(F42*IF(F49&gt;F48,F48,F49)+(IF(F49&gt;F48,F42*(F49-F48),0))+(IF(F49&gt;F48,F44*(F49-F48),0)))</f>
        <v>53413.919819027273</v>
      </c>
      <c r="G52" s="20">
        <f t="shared" si="205"/>
        <v>51937.764969608877</v>
      </c>
      <c r="H52" s="20">
        <f t="shared" si="205"/>
        <v>63030.721366264945</v>
      </c>
      <c r="I52" s="20">
        <f t="shared" si="205"/>
        <v>45797.674779086388</v>
      </c>
      <c r="J52" s="20">
        <f t="shared" si="205"/>
        <v>47080.477649188149</v>
      </c>
      <c r="K52" s="20">
        <f t="shared" si="205"/>
        <v>46817.661632899231</v>
      </c>
      <c r="L52" s="20">
        <f t="shared" si="205"/>
        <v>46426.856763488133</v>
      </c>
      <c r="M52" s="20">
        <f t="shared" si="205"/>
        <v>46097.890899987011</v>
      </c>
      <c r="O52" s="20">
        <f>(O42*IF(O49&gt;O48,O48,O49)+(IF(O49&gt;O48,O42*(O49-O48),0))+(IF(O49&gt;O48,O44*(O49-O48),0)))</f>
        <v>0</v>
      </c>
      <c r="P52" s="20">
        <f>(P42*IF(P49&gt;P48,P48,P49)+(IF(P49&gt;P48,P42*(P49-P48),0))+(IF(P49&gt;P48,P44*(P49-P48),0)))</f>
        <v>0</v>
      </c>
      <c r="Q52" s="20">
        <f t="shared" ref="Q52:X52" si="206">(Q42*IF(Q49&gt;Q48,Q48,Q49)+(IF(Q49&gt;Q48,Q42*(Q49-Q48),0))+(IF(Q49&gt;Q48,Q44*(Q49-Q48),0)))</f>
        <v>0</v>
      </c>
      <c r="R52" s="20">
        <f t="shared" si="206"/>
        <v>16412.351449056576</v>
      </c>
      <c r="S52" s="20">
        <f t="shared" si="206"/>
        <v>85198.06404442378</v>
      </c>
      <c r="T52" s="20">
        <f t="shared" si="206"/>
        <v>176331.52968199804</v>
      </c>
      <c r="U52" s="20">
        <f t="shared" si="206"/>
        <v>185816.93716164827</v>
      </c>
      <c r="V52" s="20">
        <f t="shared" si="206"/>
        <v>184306.25299794599</v>
      </c>
      <c r="W52" s="20">
        <f t="shared" si="206"/>
        <v>182480.00603379527</v>
      </c>
      <c r="X52" s="20">
        <f t="shared" si="206"/>
        <v>180829.61432617073</v>
      </c>
      <c r="Z52" s="20">
        <f>(Z42*IF(Z49&gt;Z48,Z48,Z49)+(IF(Z49&gt;Z48,Z42*(Z49-Z48),0))+(IF(Z49&gt;Z48,Z44*(Z49-Z48),0)))</f>
        <v>0</v>
      </c>
      <c r="AA52" s="20">
        <f>(AA42*IF(AA49&gt;AA48,AA48,AA49)+(IF(AA49&gt;AA48,AA42*(AA49-AA48),0))+(IF(AA49&gt;AA48,AA44*(AA49-AA48),0)))</f>
        <v>0</v>
      </c>
      <c r="AB52" s="20">
        <f t="shared" ref="AB52:AI52" si="207">(AB42*IF(AB49&gt;AB48,AB48,AB49)+(IF(AB49&gt;AB48,AB42*(AB49-AB48),0))+(IF(AB49&gt;AB48,AB44*(AB49-AB48),0)))</f>
        <v>0</v>
      </c>
      <c r="AC52" s="20">
        <f t="shared" si="207"/>
        <v>1083.0168938630136</v>
      </c>
      <c r="AD52" s="20">
        <f t="shared" si="207"/>
        <v>8038.976553069554</v>
      </c>
      <c r="AE52" s="20">
        <f t="shared" si="207"/>
        <v>16405.618540373736</v>
      </c>
      <c r="AF52" s="20">
        <f t="shared" si="207"/>
        <v>17499.899841887571</v>
      </c>
      <c r="AG52" s="20">
        <f t="shared" si="207"/>
        <v>17534.770387199998</v>
      </c>
      <c r="AH52" s="20">
        <f t="shared" si="207"/>
        <v>17534.770387199998</v>
      </c>
      <c r="AI52" s="20">
        <f t="shared" si="207"/>
        <v>17534.770387199998</v>
      </c>
      <c r="AK52" s="20">
        <f>(AK42*IF(AK49&gt;AK48,AK48,AK49)+(IF(AK49&gt;AK48,AK42*(AK49-AK48),0))+(IF(AK49&gt;AK48,AK44*(AK49-AK48),0)))</f>
        <v>0</v>
      </c>
      <c r="AL52" s="20">
        <f>(AL42*IF(AL49&gt;AL48,AL48,AL49)+(IF(AL49&gt;AL48,AL42*(AL49-AL48),0))+(IF(AL49&gt;AL48,AL44*(AL49-AL48),0)))</f>
        <v>0</v>
      </c>
      <c r="AM52" s="20">
        <f t="shared" ref="AM52:AT52" si="208">(AM42*IF(AM49&gt;AM48,AM48,AM49)+(IF(AM49&gt;AM48,AM42*(AM49-AM48),0))+(IF(AM49&gt;AM48,AM44*(AM49-AM48),0)))</f>
        <v>0</v>
      </c>
      <c r="AN52" s="20">
        <f t="shared" si="208"/>
        <v>292.46575342465752</v>
      </c>
      <c r="AO52" s="20">
        <f t="shared" si="208"/>
        <v>1426.8493150684933</v>
      </c>
      <c r="AP52" s="20">
        <f t="shared" si="208"/>
        <v>4096.5858908537803</v>
      </c>
      <c r="AQ52" s="20">
        <f t="shared" si="208"/>
        <v>5811.9587235408826</v>
      </c>
      <c r="AR52" s="20">
        <f t="shared" si="208"/>
        <v>8334.2162595388581</v>
      </c>
      <c r="AS52" s="20">
        <f t="shared" si="208"/>
        <v>12047.098628672427</v>
      </c>
      <c r="AT52" s="20">
        <f t="shared" si="208"/>
        <v>12751.540103679001</v>
      </c>
      <c r="AV52" s="20">
        <f>(AV42*IF(AV49&gt;AV48,AV48,AV49)+(IF(AV49&gt;AV48,AV42*(AV49-AV48),0))+(IF(AV49&gt;AV48,AV44*(AV49-AV48),0)))</f>
        <v>0</v>
      </c>
      <c r="AW52" s="20">
        <f>(AW42*IF(AW49&gt;AW48,AW48,AW49)+(IF(AW49&gt;AW48,AW42*(AW49-AW48),0))+(IF(AW49&gt;AW48,AW44*(AW49-AW48),0)))</f>
        <v>0</v>
      </c>
      <c r="AX52" s="20">
        <f t="shared" ref="AX52:BE52" si="209">(AX42*IF(AX49&gt;AX48,AX48,AX49)+(IF(AX49&gt;AX48,AX42*(AX49-AX48),0))+(IF(AX49&gt;AX48,AX44*(AX49-AX48),0)))</f>
        <v>0</v>
      </c>
      <c r="AY52" s="20">
        <f t="shared" si="209"/>
        <v>0</v>
      </c>
      <c r="AZ52" s="20">
        <f t="shared" si="209"/>
        <v>0</v>
      </c>
      <c r="BA52" s="20">
        <f t="shared" si="209"/>
        <v>9858.3820127243416</v>
      </c>
      <c r="BB52" s="20">
        <f t="shared" si="209"/>
        <v>36896.422996219211</v>
      </c>
      <c r="BC52" s="20">
        <f t="shared" si="209"/>
        <v>56845.14894426195</v>
      </c>
      <c r="BD52" s="20">
        <f t="shared" si="209"/>
        <v>68121.29978334147</v>
      </c>
      <c r="BE52" s="20">
        <f t="shared" si="209"/>
        <v>70842.489167822045</v>
      </c>
      <c r="BG52" s="20">
        <f t="shared" ref="BG52:BP52" si="210">BG42*BG49+SUM(BG67:BG68)</f>
        <v>0</v>
      </c>
      <c r="BH52" s="20">
        <f t="shared" si="210"/>
        <v>7418.1</v>
      </c>
      <c r="BI52" s="20">
        <f t="shared" si="210"/>
        <v>7582.1370000000006</v>
      </c>
      <c r="BJ52" s="20">
        <f t="shared" si="210"/>
        <v>7749.9249900000013</v>
      </c>
      <c r="BK52" s="20">
        <f t="shared" si="210"/>
        <v>7921.5530973000014</v>
      </c>
      <c r="BL52" s="20">
        <f t="shared" si="210"/>
        <v>8097.1126549710016</v>
      </c>
      <c r="BM52" s="20">
        <f t="shared" si="210"/>
        <v>8276.6972586671709</v>
      </c>
      <c r="BN52" s="20">
        <f t="shared" si="210"/>
        <v>8524.998176427187</v>
      </c>
      <c r="BO52" s="20">
        <f t="shared" si="210"/>
        <v>8780.748121720002</v>
      </c>
      <c r="BP52" s="20">
        <f t="shared" si="210"/>
        <v>9044.1705653716017</v>
      </c>
      <c r="BR52" s="20">
        <f t="shared" ref="BR52:CA52" si="211">BR42*BR49+SUM(BR67:BR68)</f>
        <v>0</v>
      </c>
      <c r="BS52" s="20">
        <f t="shared" si="211"/>
        <v>3707.25</v>
      </c>
      <c r="BT52" s="20">
        <f t="shared" si="211"/>
        <v>3797.0699999999997</v>
      </c>
      <c r="BU52" s="20">
        <f t="shared" si="211"/>
        <v>3889.1566499999999</v>
      </c>
      <c r="BV52" s="20">
        <f t="shared" si="211"/>
        <v>3983.5693904999998</v>
      </c>
      <c r="BW52" s="20">
        <f t="shared" si="211"/>
        <v>4080.3692740349998</v>
      </c>
      <c r="BX52" s="20">
        <f t="shared" si="211"/>
        <v>4179.6190101124503</v>
      </c>
      <c r="BY52" s="20">
        <f t="shared" si="211"/>
        <v>4305.0075804158232</v>
      </c>
      <c r="BZ52" s="20">
        <f t="shared" si="211"/>
        <v>4434.1578078282982</v>
      </c>
      <c r="CA52" s="20">
        <f t="shared" si="211"/>
        <v>4567.1825420631476</v>
      </c>
      <c r="CC52" s="20">
        <f t="shared" ref="CC52:CL52" si="212">CC42*CC49+SUM(CC69:CC70)</f>
        <v>0</v>
      </c>
      <c r="CD52" s="20">
        <f t="shared" si="212"/>
        <v>20953</v>
      </c>
      <c r="CE52" s="20">
        <f t="shared" si="212"/>
        <v>25539.39</v>
      </c>
      <c r="CF52" s="20">
        <f t="shared" si="212"/>
        <v>27879.6967</v>
      </c>
      <c r="CG52" s="20">
        <f t="shared" si="212"/>
        <v>30447.625101000001</v>
      </c>
      <c r="CH52" s="20">
        <f t="shared" si="212"/>
        <v>33265.74510403</v>
      </c>
      <c r="CI52" s="20">
        <f t="shared" si="212"/>
        <v>34862.334707150905</v>
      </c>
      <c r="CJ52" s="20">
        <f t="shared" si="212"/>
        <v>36536.752860865432</v>
      </c>
      <c r="CK52" s="20">
        <f t="shared" si="212"/>
        <v>36026.116263253884</v>
      </c>
      <c r="CL52" s="20">
        <f t="shared" si="212"/>
        <v>36135.439751151505</v>
      </c>
      <c r="CN52" s="20">
        <f t="shared" ref="CN52:CW52" si="213">CN42*CN49</f>
        <v>0</v>
      </c>
      <c r="CO52" s="20">
        <f t="shared" si="213"/>
        <v>3369.6000000000004</v>
      </c>
      <c r="CP52" s="20">
        <f t="shared" si="213"/>
        <v>4212</v>
      </c>
      <c r="CQ52" s="20">
        <f t="shared" si="213"/>
        <v>4633.2000000000007</v>
      </c>
      <c r="CR52" s="20">
        <f t="shared" si="213"/>
        <v>5096.5200000000004</v>
      </c>
      <c r="CS52" s="20">
        <f t="shared" si="213"/>
        <v>5606.1720000000014</v>
      </c>
      <c r="CT52" s="20">
        <f t="shared" si="213"/>
        <v>5886.4806000000008</v>
      </c>
      <c r="CU52" s="20">
        <f t="shared" si="213"/>
        <v>6180.8046300000015</v>
      </c>
      <c r="CV52" s="20">
        <f t="shared" si="213"/>
        <v>6210</v>
      </c>
      <c r="CW52" s="20">
        <f t="shared" si="213"/>
        <v>6210</v>
      </c>
    </row>
    <row r="53" spans="1:101">
      <c r="B53" s="104" t="s">
        <v>78</v>
      </c>
      <c r="C53" s="117"/>
      <c r="D53" s="117">
        <f>D51-D52</f>
        <v>0</v>
      </c>
      <c r="E53" s="117">
        <f t="shared" ref="E53:H53" si="214">E51-E52</f>
        <v>-31764.847500000003</v>
      </c>
      <c r="F53" s="117">
        <f t="shared" si="214"/>
        <v>-32649.317079301247</v>
      </c>
      <c r="G53" s="117">
        <f t="shared" si="214"/>
        <v>-19609.554140499291</v>
      </c>
      <c r="H53" s="117">
        <f t="shared" si="214"/>
        <v>-5613.8421416073979</v>
      </c>
      <c r="I53" s="117">
        <f t="shared" ref="I53:L53" si="215">I51-I52</f>
        <v>25303.724145845132</v>
      </c>
      <c r="J53" s="117">
        <f t="shared" si="215"/>
        <v>23681.614534373482</v>
      </c>
      <c r="K53" s="117">
        <f t="shared" si="215"/>
        <v>24238.266167100759</v>
      </c>
      <c r="L53" s="117">
        <f t="shared" si="215"/>
        <v>24629.071036511858</v>
      </c>
      <c r="M53" s="117">
        <f t="shared" ref="M53" si="216">M51-M52</f>
        <v>24958.036900012979</v>
      </c>
      <c r="N53" s="100"/>
      <c r="O53" s="117">
        <f>O51-O52</f>
        <v>0</v>
      </c>
      <c r="P53" s="117">
        <f t="shared" ref="P53:W53" si="217">P51-P52</f>
        <v>0</v>
      </c>
      <c r="Q53" s="117">
        <f t="shared" si="217"/>
        <v>0</v>
      </c>
      <c r="R53" s="117">
        <f t="shared" si="217"/>
        <v>9227.2222940941028</v>
      </c>
      <c r="S53" s="117">
        <f t="shared" si="217"/>
        <v>49479.054295302252</v>
      </c>
      <c r="T53" s="117">
        <f t="shared" si="217"/>
        <v>108041.69239964752</v>
      </c>
      <c r="U53" s="117">
        <f t="shared" si="217"/>
        <v>106982.29897533797</v>
      </c>
      <c r="V53" s="117">
        <f t="shared" si="217"/>
        <v>109294.35300205398</v>
      </c>
      <c r="W53" s="117">
        <f t="shared" si="217"/>
        <v>111120.5999662047</v>
      </c>
      <c r="X53" s="117">
        <f t="shared" ref="X53" si="218">X51-X52</f>
        <v>112770.99167382924</v>
      </c>
      <c r="Y53" s="100"/>
      <c r="Z53" s="117">
        <f>Z51-Z52</f>
        <v>0</v>
      </c>
      <c r="AA53" s="117">
        <f t="shared" ref="AA53:AD53" si="219">AA51-AA52</f>
        <v>0</v>
      </c>
      <c r="AB53" s="117">
        <f t="shared" si="219"/>
        <v>0</v>
      </c>
      <c r="AC53" s="117">
        <f t="shared" si="219"/>
        <v>3082.4326979178081</v>
      </c>
      <c r="AD53" s="117">
        <f t="shared" si="219"/>
        <v>17046.919789286603</v>
      </c>
      <c r="AE53" s="117">
        <f t="shared" ref="AE53:AH53" si="220">AE51-AE52</f>
        <v>34998.218786530371</v>
      </c>
      <c r="AF53" s="117">
        <f t="shared" si="220"/>
        <v>38597.679656194618</v>
      </c>
      <c r="AG53" s="117">
        <f t="shared" si="220"/>
        <v>38674.589932799994</v>
      </c>
      <c r="AH53" s="117">
        <f t="shared" si="220"/>
        <v>38674.589932799994</v>
      </c>
      <c r="AI53" s="117">
        <f t="shared" ref="AI53" si="221">AI51-AI52</f>
        <v>38674.589932799994</v>
      </c>
      <c r="AJ53" s="100"/>
      <c r="AK53" s="117">
        <f>AK51-AK52</f>
        <v>0</v>
      </c>
      <c r="AL53" s="117">
        <f t="shared" ref="AL53:AO53" si="222">AL51-AL52</f>
        <v>0</v>
      </c>
      <c r="AM53" s="117">
        <f t="shared" si="222"/>
        <v>0</v>
      </c>
      <c r="AN53" s="117">
        <f t="shared" si="222"/>
        <v>0</v>
      </c>
      <c r="AO53" s="117">
        <f t="shared" si="222"/>
        <v>356.71232876712315</v>
      </c>
      <c r="AP53" s="117">
        <f t="shared" ref="AP53:AS53" si="223">AP51-AP52</f>
        <v>5766.4278077763547</v>
      </c>
      <c r="AQ53" s="117">
        <f t="shared" si="223"/>
        <v>6023.6577148152819</v>
      </c>
      <c r="AR53" s="117">
        <f t="shared" si="223"/>
        <v>8309.6193568995004</v>
      </c>
      <c r="AS53" s="117">
        <f t="shared" si="223"/>
        <v>4596.7369877659276</v>
      </c>
      <c r="AT53" s="117">
        <f t="shared" ref="AT53" si="224">AT51-AT52</f>
        <v>1395.7201702936018</v>
      </c>
      <c r="AU53" s="100"/>
      <c r="AV53" s="117">
        <f>AV51-AV52</f>
        <v>0</v>
      </c>
      <c r="AW53" s="117">
        <f t="shared" ref="AW53:AZ53" si="225">AW51-AW52</f>
        <v>0</v>
      </c>
      <c r="AX53" s="117">
        <f t="shared" si="225"/>
        <v>0</v>
      </c>
      <c r="AY53" s="117">
        <f t="shared" si="225"/>
        <v>0</v>
      </c>
      <c r="AZ53" s="117">
        <f t="shared" si="225"/>
        <v>0</v>
      </c>
      <c r="BA53" s="117">
        <f t="shared" ref="BA53:BD53" si="226">BA51-BA52</f>
        <v>9319.7001790564791</v>
      </c>
      <c r="BB53" s="117">
        <f t="shared" si="226"/>
        <v>19062.481113369824</v>
      </c>
      <c r="BC53" s="117">
        <f t="shared" si="226"/>
        <v>29421.974343409282</v>
      </c>
      <c r="BD53" s="117">
        <f t="shared" si="226"/>
        <v>33762.261860494153</v>
      </c>
      <c r="BE53" s="117">
        <f t="shared" ref="BE53" si="227">BE51-BE52</f>
        <v>36571.894393821785</v>
      </c>
      <c r="BF53" s="100"/>
      <c r="BG53" s="117">
        <f t="shared" ref="BG53:BP53" si="228">BG51-BG52</f>
        <v>0</v>
      </c>
      <c r="BH53" s="117">
        <f t="shared" si="228"/>
        <v>1581.8999999999996</v>
      </c>
      <c r="BI53" s="117">
        <f t="shared" si="228"/>
        <v>1597.8629999999994</v>
      </c>
      <c r="BJ53" s="117">
        <f t="shared" si="228"/>
        <v>1613.675009999999</v>
      </c>
      <c r="BK53" s="117">
        <f t="shared" si="228"/>
        <v>1629.3189026999999</v>
      </c>
      <c r="BL53" s="117">
        <f t="shared" si="228"/>
        <v>1644.7767850289993</v>
      </c>
      <c r="BM53" s="117">
        <f t="shared" si="228"/>
        <v>1660.0299701328295</v>
      </c>
      <c r="BN53" s="117">
        <f t="shared" si="228"/>
        <v>1709.8308692368137</v>
      </c>
      <c r="BO53" s="117">
        <f t="shared" si="228"/>
        <v>1761.1257953139193</v>
      </c>
      <c r="BP53" s="117">
        <f t="shared" si="228"/>
        <v>1813.9595691733357</v>
      </c>
      <c r="BQ53" s="100"/>
      <c r="BR53" s="117">
        <f>BR51-BR52</f>
        <v>0</v>
      </c>
      <c r="BS53" s="117">
        <f t="shared" ref="BS53:CA53" si="229">BS51-BS52</f>
        <v>-415.25</v>
      </c>
      <c r="BT53" s="117">
        <f t="shared" si="229"/>
        <v>-439.23</v>
      </c>
      <c r="BU53" s="117">
        <f t="shared" si="229"/>
        <v>-464.15985000000046</v>
      </c>
      <c r="BV53" s="117">
        <f t="shared" si="229"/>
        <v>-490.07265450000023</v>
      </c>
      <c r="BW53" s="117">
        <f t="shared" si="229"/>
        <v>-517.00260331500021</v>
      </c>
      <c r="BX53" s="117">
        <f t="shared" si="229"/>
        <v>-544.98500597805059</v>
      </c>
      <c r="BY53" s="117">
        <f t="shared" si="229"/>
        <v>-561.33455615739149</v>
      </c>
      <c r="BZ53" s="117">
        <f t="shared" si="229"/>
        <v>-578.17459284211282</v>
      </c>
      <c r="CA53" s="117">
        <f t="shared" si="229"/>
        <v>-595.51983062737645</v>
      </c>
      <c r="CB53" s="100"/>
      <c r="CC53" s="117">
        <f>CC51-CC52</f>
        <v>0</v>
      </c>
      <c r="CD53" s="117">
        <f t="shared" ref="CD53:CG53" si="230">CD51-CD52</f>
        <v>6697</v>
      </c>
      <c r="CE53" s="117">
        <f t="shared" si="230"/>
        <v>9023.11</v>
      </c>
      <c r="CF53" s="117">
        <f t="shared" si="230"/>
        <v>10139.0533</v>
      </c>
      <c r="CG53" s="117">
        <f t="shared" si="230"/>
        <v>11372.999898999999</v>
      </c>
      <c r="CH53" s="117">
        <f t="shared" ref="CH53:CK53" si="231">CH51-CH52</f>
        <v>12736.942395970007</v>
      </c>
      <c r="CI53" s="117">
        <f t="shared" si="231"/>
        <v>13440.487167849104</v>
      </c>
      <c r="CJ53" s="117">
        <f t="shared" si="231"/>
        <v>14181.210107884581</v>
      </c>
      <c r="CK53" s="117">
        <f t="shared" si="231"/>
        <v>13743.883736746116</v>
      </c>
      <c r="CL53" s="117">
        <f t="shared" ref="CL53" si="232">CL51-CL52</f>
        <v>13634.560248848495</v>
      </c>
      <c r="CM53" s="100"/>
      <c r="CN53" s="117">
        <f>CN51-CN52</f>
        <v>0</v>
      </c>
      <c r="CO53" s="117">
        <f t="shared" ref="CO53:CR53" si="233">CO51-CO52</f>
        <v>1747.1999999999989</v>
      </c>
      <c r="CP53" s="117">
        <f t="shared" si="233"/>
        <v>2184</v>
      </c>
      <c r="CQ53" s="117">
        <f t="shared" si="233"/>
        <v>2402.3999999999987</v>
      </c>
      <c r="CR53" s="117">
        <f t="shared" si="233"/>
        <v>2642.6399999999994</v>
      </c>
      <c r="CS53" s="117">
        <f t="shared" ref="CS53:CV53" si="234">CS51-CS52</f>
        <v>2906.9039999999995</v>
      </c>
      <c r="CT53" s="117">
        <f t="shared" si="234"/>
        <v>3052.2492000000002</v>
      </c>
      <c r="CU53" s="117">
        <f t="shared" si="234"/>
        <v>3204.8616599999996</v>
      </c>
      <c r="CV53" s="117">
        <f t="shared" si="234"/>
        <v>3220</v>
      </c>
      <c r="CW53" s="117">
        <f t="shared" ref="CW53" si="235">CW51-CW52</f>
        <v>3220</v>
      </c>
    </row>
    <row r="54" spans="1:101" ht="3.75" customHeight="1"/>
    <row r="55" spans="1:101">
      <c r="B55" s="204" t="s">
        <v>477</v>
      </c>
    </row>
    <row r="56" spans="1:101">
      <c r="B56" s="205" t="s">
        <v>6</v>
      </c>
      <c r="C56" s="207"/>
      <c r="D56" s="207">
        <f>_xlfn.XLOOKUP(D$5, 'Project Pele ROI'!$F$29:$AL$29, 'Project Pele ROI'!$F$43:$AL$43, 0)</f>
        <v>0</v>
      </c>
      <c r="E56" s="207">
        <f>_xlfn.XLOOKUP(E$5, 'Project Pele ROI'!$F$29:$AL$29, 'Project Pele ROI'!$F$43:$AL$43, 0)</f>
        <v>0</v>
      </c>
      <c r="F56" s="207">
        <f>_xlfn.XLOOKUP(F$5, 'Project Pele ROI'!$F$29:$AL$29, 'Project Pele ROI'!$F$43:$AL$43, 0)</f>
        <v>0</v>
      </c>
      <c r="G56" s="207">
        <f>_xlfn.XLOOKUP(G$5, 'Project Pele ROI'!$F$29:$AL$29, 'Project Pele ROI'!$F$43:$AL$43, 0)</f>
        <v>30</v>
      </c>
      <c r="H56" s="207">
        <f>_xlfn.XLOOKUP(H$5, 'Project Pele ROI'!$F$29:$AL$29, 'Project Pele ROI'!$F$43:$AL$43, 0)</f>
        <v>25</v>
      </c>
      <c r="I56" s="207">
        <f>_xlfn.XLOOKUP(I$5, 'Project Pele ROI'!$F$29:$AL$29, 'Project Pele ROI'!$F$43:$AL$43, 0)</f>
        <v>15</v>
      </c>
      <c r="J56" s="207">
        <f>_xlfn.XLOOKUP(J$5, 'Project Pele ROI'!$F$29:$AL$29, 'Project Pele ROI'!$F$43:$AL$43, 0)</f>
        <v>15</v>
      </c>
      <c r="K56" s="207">
        <f>_xlfn.XLOOKUP(K$5, 'Project Pele ROI'!$F$29:$AL$29, 'Project Pele ROI'!$F$43:$AL$43, 0)</f>
        <v>15</v>
      </c>
      <c r="L56" s="207">
        <f>_xlfn.XLOOKUP(L$5, 'Project Pele ROI'!$F$29:$AL$29, 'Project Pele ROI'!$F$43:$AL$43, 0)</f>
        <v>15</v>
      </c>
      <c r="M56" s="207">
        <f>_xlfn.XLOOKUP(M$5, 'Project Pele ROI'!$F$29:$AL$29, 'Project Pele ROI'!$F$43:$AL$43, 0)</f>
        <v>15</v>
      </c>
      <c r="N56" s="1"/>
      <c r="O56" s="207">
        <f>$D$56</f>
        <v>0</v>
      </c>
      <c r="P56" s="207">
        <f>$E$56</f>
        <v>0</v>
      </c>
      <c r="Q56" s="207">
        <f>$F$56</f>
        <v>0</v>
      </c>
      <c r="R56" s="207">
        <f>$G$56</f>
        <v>30</v>
      </c>
      <c r="S56" s="207">
        <f>$H$56</f>
        <v>25</v>
      </c>
      <c r="T56" s="207">
        <f>$I$56</f>
        <v>15</v>
      </c>
      <c r="U56" s="207">
        <f>$J$56</f>
        <v>15</v>
      </c>
      <c r="V56" s="207">
        <f>$K$56</f>
        <v>15</v>
      </c>
      <c r="W56" s="207">
        <f>$L$56</f>
        <v>15</v>
      </c>
      <c r="X56" s="207">
        <f>$M$56</f>
        <v>15</v>
      </c>
      <c r="Y56" s="1"/>
      <c r="Z56" s="207">
        <v>10</v>
      </c>
      <c r="AA56" s="207">
        <v>10</v>
      </c>
      <c r="AB56" s="207">
        <v>10</v>
      </c>
      <c r="AC56" s="207">
        <v>10</v>
      </c>
      <c r="AD56" s="207">
        <v>10</v>
      </c>
      <c r="AE56" s="207">
        <v>10</v>
      </c>
      <c r="AF56" s="207">
        <v>10</v>
      </c>
      <c r="AG56" s="207">
        <v>10</v>
      </c>
      <c r="AH56" s="207">
        <v>10</v>
      </c>
      <c r="AI56" s="207">
        <v>10</v>
      </c>
      <c r="AJ56" s="1"/>
      <c r="AK56" s="207">
        <f>$D$56</f>
        <v>0</v>
      </c>
      <c r="AL56" s="207">
        <f>$E$56</f>
        <v>0</v>
      </c>
      <c r="AM56" s="207">
        <f>$F$56</f>
        <v>0</v>
      </c>
      <c r="AN56" s="207">
        <f>$G$56</f>
        <v>30</v>
      </c>
      <c r="AO56" s="207">
        <f>$H$56</f>
        <v>25</v>
      </c>
      <c r="AP56" s="207">
        <f>$I$56</f>
        <v>15</v>
      </c>
      <c r="AQ56" s="207">
        <f>$J$56</f>
        <v>15</v>
      </c>
      <c r="AR56" s="207">
        <f>$K$56</f>
        <v>15</v>
      </c>
      <c r="AS56" s="207">
        <f>$L$56</f>
        <v>15</v>
      </c>
      <c r="AT56" s="207">
        <f>$M$56</f>
        <v>15</v>
      </c>
      <c r="AU56" s="1"/>
      <c r="AV56" s="207">
        <f>$D$56</f>
        <v>0</v>
      </c>
      <c r="AW56" s="207">
        <f>$E$56</f>
        <v>0</v>
      </c>
      <c r="AX56" s="207">
        <f>$F$56</f>
        <v>0</v>
      </c>
      <c r="AY56" s="207">
        <f>$G$56</f>
        <v>30</v>
      </c>
      <c r="AZ56" s="207">
        <f>$H$56</f>
        <v>25</v>
      </c>
      <c r="BA56" s="207">
        <f>$I$56</f>
        <v>15</v>
      </c>
      <c r="BB56" s="207">
        <f>$J$56</f>
        <v>15</v>
      </c>
      <c r="BC56" s="207">
        <f>$K$56</f>
        <v>15</v>
      </c>
      <c r="BD56" s="207">
        <f>$L$56</f>
        <v>15</v>
      </c>
      <c r="BE56" s="207">
        <f>$M$56</f>
        <v>15</v>
      </c>
      <c r="BF56" s="1"/>
      <c r="BG56" s="207"/>
      <c r="BH56" s="207"/>
      <c r="BI56" s="207"/>
      <c r="BJ56" s="207"/>
      <c r="BK56" s="207"/>
      <c r="BL56" s="207"/>
      <c r="BM56" s="207"/>
      <c r="BN56" s="207"/>
      <c r="BO56" s="207"/>
      <c r="BP56" s="207"/>
      <c r="BQ56" s="1"/>
      <c r="BR56" s="207"/>
      <c r="BS56" s="207"/>
      <c r="BT56" s="207"/>
      <c r="BU56" s="207"/>
      <c r="BV56" s="207"/>
      <c r="BW56" s="207"/>
      <c r="BX56" s="207"/>
      <c r="BY56" s="207"/>
      <c r="BZ56" s="207"/>
      <c r="CA56" s="207"/>
      <c r="CB56" s="1"/>
      <c r="CC56" s="207"/>
      <c r="CD56" s="207"/>
      <c r="CE56" s="207"/>
      <c r="CF56" s="207"/>
      <c r="CG56" s="207"/>
      <c r="CH56" s="207"/>
      <c r="CI56" s="207"/>
      <c r="CJ56" s="207"/>
      <c r="CK56" s="207"/>
      <c r="CL56" s="207"/>
      <c r="CM56" s="1"/>
      <c r="CN56" s="207"/>
      <c r="CO56" s="207"/>
      <c r="CP56" s="207"/>
      <c r="CQ56" s="207"/>
      <c r="CR56" s="207"/>
      <c r="CS56" s="207"/>
      <c r="CT56" s="207"/>
      <c r="CU56" s="207"/>
      <c r="CV56" s="207"/>
      <c r="CW56" s="207"/>
    </row>
    <row r="57" spans="1:101">
      <c r="B57" s="8" t="s">
        <v>631</v>
      </c>
      <c r="C57" s="208"/>
      <c r="D57" s="208">
        <f>_xlfn.XLOOKUP(D$5, 'Project Playground ROI'!$F$29:$AL$29, 'Project Playground ROI'!$F$43:$AL$43, 0 )</f>
        <v>0</v>
      </c>
      <c r="E57" s="208">
        <f>_xlfn.XLOOKUP(E$5, 'Project Playground ROI'!$F$29:$AL$29, 'Project Playground ROI'!$F$43:$AL$43, 0 )</f>
        <v>0</v>
      </c>
      <c r="F57" s="208">
        <f>_xlfn.XLOOKUP(F$5, 'Project Playground ROI'!$F$29:$AL$29, 'Project Playground ROI'!$F$43:$AL$43, 0 )</f>
        <v>0</v>
      </c>
      <c r="G57" s="208">
        <f>_xlfn.XLOOKUP(G$5, 'Project Playground ROI'!$F$29:$AL$29, 'Project Playground ROI'!$F$43:$AL$43, 0 )</f>
        <v>0</v>
      </c>
      <c r="H57" s="208">
        <f>_xlfn.XLOOKUP(H$5, 'Project Playground ROI'!$F$29:$AL$29, 'Project Playground ROI'!$F$43:$AL$43, 0 )</f>
        <v>15</v>
      </c>
      <c r="I57" s="208">
        <f>_xlfn.XLOOKUP(I$5, 'Project Playground ROI'!$F$29:$AL$29, 'Project Playground ROI'!$F$43:$AL$43, 0 )</f>
        <v>15</v>
      </c>
      <c r="J57" s="208">
        <f>_xlfn.XLOOKUP(J$5, 'Project Playground ROI'!$F$29:$AL$29, 'Project Playground ROI'!$F$43:$AL$43, 0 )</f>
        <v>15</v>
      </c>
      <c r="K57" s="208">
        <f>_xlfn.XLOOKUP(K$5, 'Project Playground ROI'!$F$29:$AL$29, 'Project Playground ROI'!$F$43:$AL$43, 0 )</f>
        <v>15</v>
      </c>
      <c r="L57" s="208">
        <f>_xlfn.XLOOKUP(L$5, 'Project Playground ROI'!$F$29:$AL$29, 'Project Playground ROI'!$F$43:$AL$43, 0 )</f>
        <v>15</v>
      </c>
      <c r="M57" s="208">
        <f>_xlfn.XLOOKUP(M$5, 'Project Playground ROI'!$F$29:$AL$29, 'Project Playground ROI'!$F$43:$AL$43, 0 )</f>
        <v>15</v>
      </c>
      <c r="N57" s="1"/>
      <c r="O57" s="208">
        <f>$D$57</f>
        <v>0</v>
      </c>
      <c r="P57" s="208">
        <f>$E$57</f>
        <v>0</v>
      </c>
      <c r="Q57" s="208">
        <f>$F$57</f>
        <v>0</v>
      </c>
      <c r="R57" s="208">
        <f>$G$57</f>
        <v>0</v>
      </c>
      <c r="S57" s="208">
        <f>$H$57</f>
        <v>15</v>
      </c>
      <c r="T57" s="208">
        <f>$I$57</f>
        <v>15</v>
      </c>
      <c r="U57" s="208">
        <f>$J$57</f>
        <v>15</v>
      </c>
      <c r="V57" s="208">
        <f>$K$57</f>
        <v>15</v>
      </c>
      <c r="W57" s="208">
        <f>$L$57</f>
        <v>15</v>
      </c>
      <c r="X57" s="208">
        <f>$M$57</f>
        <v>15</v>
      </c>
      <c r="Y57" s="1"/>
      <c r="Z57" s="208">
        <v>10</v>
      </c>
      <c r="AA57" s="208">
        <v>10</v>
      </c>
      <c r="AB57" s="208">
        <v>10</v>
      </c>
      <c r="AC57" s="208">
        <v>10</v>
      </c>
      <c r="AD57" s="208">
        <v>10</v>
      </c>
      <c r="AE57" s="208">
        <v>10</v>
      </c>
      <c r="AF57" s="208">
        <v>10</v>
      </c>
      <c r="AG57" s="208">
        <v>10</v>
      </c>
      <c r="AH57" s="208">
        <v>10</v>
      </c>
      <c r="AI57" s="208">
        <v>10</v>
      </c>
      <c r="AJ57" s="1"/>
      <c r="AK57" s="208">
        <f>$D$57</f>
        <v>0</v>
      </c>
      <c r="AL57" s="208">
        <f>$E$57</f>
        <v>0</v>
      </c>
      <c r="AM57" s="208">
        <f>$F$57</f>
        <v>0</v>
      </c>
      <c r="AN57" s="208">
        <f>$G$57</f>
        <v>0</v>
      </c>
      <c r="AO57" s="208">
        <f>$H$57</f>
        <v>15</v>
      </c>
      <c r="AP57" s="208">
        <f>$I$57</f>
        <v>15</v>
      </c>
      <c r="AQ57" s="208">
        <f>$J$57</f>
        <v>15</v>
      </c>
      <c r="AR57" s="208">
        <f>$K$57</f>
        <v>15</v>
      </c>
      <c r="AS57" s="208">
        <f>$L$57</f>
        <v>15</v>
      </c>
      <c r="AT57" s="208">
        <f>$M$57</f>
        <v>15</v>
      </c>
      <c r="AU57" s="1"/>
      <c r="AV57" s="208">
        <f>$D$57</f>
        <v>0</v>
      </c>
      <c r="AW57" s="208">
        <f>$E$57</f>
        <v>0</v>
      </c>
      <c r="AX57" s="208">
        <f>$F$57</f>
        <v>0</v>
      </c>
      <c r="AY57" s="208">
        <f>$G$57</f>
        <v>0</v>
      </c>
      <c r="AZ57" s="208">
        <f>$H$57</f>
        <v>15</v>
      </c>
      <c r="BA57" s="208">
        <f>$I$57</f>
        <v>15</v>
      </c>
      <c r="BB57" s="208">
        <f>$J$57</f>
        <v>15</v>
      </c>
      <c r="BC57" s="208">
        <f>$K$57</f>
        <v>15</v>
      </c>
      <c r="BD57" s="208">
        <f>$L$57</f>
        <v>15</v>
      </c>
      <c r="BE57" s="208">
        <f>$M$57</f>
        <v>15</v>
      </c>
      <c r="BF57" s="1"/>
      <c r="BG57" s="208"/>
      <c r="BH57" s="208"/>
      <c r="BI57" s="208"/>
      <c r="BJ57" s="208"/>
      <c r="BK57" s="208"/>
      <c r="BL57" s="208"/>
      <c r="BM57" s="208"/>
      <c r="BN57" s="208"/>
      <c r="BO57" s="208"/>
      <c r="BP57" s="208"/>
      <c r="BQ57" s="1"/>
      <c r="BR57" s="208"/>
      <c r="BS57" s="208"/>
      <c r="BT57" s="208"/>
      <c r="BU57" s="208"/>
      <c r="BV57" s="208"/>
      <c r="BW57" s="208"/>
      <c r="BX57" s="208"/>
      <c r="BY57" s="208"/>
      <c r="BZ57" s="208"/>
      <c r="CA57" s="208"/>
      <c r="CB57" s="1"/>
      <c r="CC57" s="208"/>
      <c r="CD57" s="208"/>
      <c r="CE57" s="208"/>
      <c r="CF57" s="208"/>
      <c r="CG57" s="208"/>
      <c r="CH57" s="208"/>
      <c r="CI57" s="208"/>
      <c r="CJ57" s="208"/>
      <c r="CK57" s="208"/>
      <c r="CL57" s="208"/>
      <c r="CM57" s="1"/>
      <c r="CN57" s="208"/>
      <c r="CO57" s="208"/>
      <c r="CP57" s="208"/>
      <c r="CQ57" s="208"/>
      <c r="CR57" s="208"/>
      <c r="CS57" s="208"/>
      <c r="CT57" s="208"/>
      <c r="CU57" s="208"/>
      <c r="CV57" s="208"/>
      <c r="CW57" s="208"/>
    </row>
    <row r="58" spans="1:101">
      <c r="B58" s="205" t="s">
        <v>520</v>
      </c>
      <c r="C58" s="207"/>
      <c r="D58" s="207">
        <f t="shared" ref="D58:F58" si="236">D56</f>
        <v>0</v>
      </c>
      <c r="E58" s="207">
        <f t="shared" si="236"/>
        <v>0</v>
      </c>
      <c r="F58" s="207">
        <f t="shared" si="236"/>
        <v>0</v>
      </c>
      <c r="G58" s="207">
        <f>G56</f>
        <v>30</v>
      </c>
      <c r="H58" s="207">
        <f t="shared" ref="H58:M58" si="237">H56</f>
        <v>25</v>
      </c>
      <c r="I58" s="207">
        <f t="shared" si="237"/>
        <v>15</v>
      </c>
      <c r="J58" s="207">
        <f t="shared" si="237"/>
        <v>15</v>
      </c>
      <c r="K58" s="207">
        <f t="shared" si="237"/>
        <v>15</v>
      </c>
      <c r="L58" s="207">
        <f t="shared" si="237"/>
        <v>15</v>
      </c>
      <c r="M58" s="207">
        <f t="shared" si="237"/>
        <v>15</v>
      </c>
      <c r="N58" s="1"/>
      <c r="O58" s="207">
        <f>$D$58</f>
        <v>0</v>
      </c>
      <c r="P58" s="207">
        <f>$E$58</f>
        <v>0</v>
      </c>
      <c r="Q58" s="207">
        <f>$F$58</f>
        <v>0</v>
      </c>
      <c r="R58" s="207">
        <f>$G$58</f>
        <v>30</v>
      </c>
      <c r="S58" s="207">
        <f>$H$58</f>
        <v>25</v>
      </c>
      <c r="T58" s="207">
        <f>$I$58</f>
        <v>15</v>
      </c>
      <c r="U58" s="207">
        <f>$J$58</f>
        <v>15</v>
      </c>
      <c r="V58" s="207">
        <f>$K$58</f>
        <v>15</v>
      </c>
      <c r="W58" s="207">
        <f>$L$58</f>
        <v>15</v>
      </c>
      <c r="X58" s="207">
        <f>$M$58</f>
        <v>15</v>
      </c>
      <c r="Y58" s="1"/>
      <c r="Z58" s="207">
        <v>10</v>
      </c>
      <c r="AA58" s="207">
        <v>10</v>
      </c>
      <c r="AB58" s="207">
        <v>10</v>
      </c>
      <c r="AC58" s="207">
        <v>10</v>
      </c>
      <c r="AD58" s="207">
        <v>10</v>
      </c>
      <c r="AE58" s="207">
        <v>10</v>
      </c>
      <c r="AF58" s="207">
        <v>10</v>
      </c>
      <c r="AG58" s="207">
        <v>10</v>
      </c>
      <c r="AH58" s="207">
        <v>10</v>
      </c>
      <c r="AI58" s="207">
        <v>10</v>
      </c>
      <c r="AJ58" s="1"/>
      <c r="AK58" s="207">
        <f>$D$58</f>
        <v>0</v>
      </c>
      <c r="AL58" s="207">
        <f>$E$58</f>
        <v>0</v>
      </c>
      <c r="AM58" s="207">
        <f>$F$58</f>
        <v>0</v>
      </c>
      <c r="AN58" s="207">
        <f>$G$58</f>
        <v>30</v>
      </c>
      <c r="AO58" s="207">
        <f>$H$58</f>
        <v>25</v>
      </c>
      <c r="AP58" s="207">
        <f>$I$58</f>
        <v>15</v>
      </c>
      <c r="AQ58" s="207">
        <f>$J$58</f>
        <v>15</v>
      </c>
      <c r="AR58" s="207">
        <f>$K$58</f>
        <v>15</v>
      </c>
      <c r="AS58" s="207">
        <f>$L$58</f>
        <v>15</v>
      </c>
      <c r="AT58" s="207">
        <f>$M$58</f>
        <v>15</v>
      </c>
      <c r="AU58" s="1"/>
      <c r="AV58" s="207">
        <f>$D$58</f>
        <v>0</v>
      </c>
      <c r="AW58" s="207">
        <f>$E$58</f>
        <v>0</v>
      </c>
      <c r="AX58" s="207">
        <f>$F$58</f>
        <v>0</v>
      </c>
      <c r="AY58" s="207">
        <f>$G$58</f>
        <v>30</v>
      </c>
      <c r="AZ58" s="207">
        <f>$H$58</f>
        <v>25</v>
      </c>
      <c r="BA58" s="207">
        <f>$I$58</f>
        <v>15</v>
      </c>
      <c r="BB58" s="207">
        <f>$J$58</f>
        <v>15</v>
      </c>
      <c r="BC58" s="207">
        <f>$K$58</f>
        <v>15</v>
      </c>
      <c r="BD58" s="207">
        <f>$L$58</f>
        <v>15</v>
      </c>
      <c r="BE58" s="207">
        <f>$M$58</f>
        <v>15</v>
      </c>
      <c r="BF58" s="1"/>
      <c r="BG58" s="207"/>
      <c r="BH58" s="207"/>
      <c r="BI58" s="207"/>
      <c r="BJ58" s="207"/>
      <c r="BK58" s="207"/>
      <c r="BL58" s="207"/>
      <c r="BM58" s="207"/>
      <c r="BN58" s="207"/>
      <c r="BO58" s="207"/>
      <c r="BP58" s="207"/>
      <c r="BQ58" s="1"/>
      <c r="BR58" s="207"/>
      <c r="BS58" s="207"/>
      <c r="BT58" s="207"/>
      <c r="BU58" s="207"/>
      <c r="BV58" s="207"/>
      <c r="BW58" s="207"/>
      <c r="BX58" s="207"/>
      <c r="BY58" s="207"/>
      <c r="BZ58" s="207"/>
      <c r="CA58" s="207"/>
      <c r="CB58" s="1"/>
      <c r="CC58" s="207"/>
      <c r="CD58" s="207"/>
      <c r="CE58" s="207"/>
      <c r="CF58" s="207"/>
      <c r="CG58" s="207"/>
      <c r="CH58" s="207"/>
      <c r="CI58" s="207"/>
      <c r="CJ58" s="207"/>
      <c r="CK58" s="207"/>
      <c r="CL58" s="207"/>
      <c r="CM58" s="1"/>
      <c r="CN58" s="207"/>
      <c r="CO58" s="207"/>
      <c r="CP58" s="207"/>
      <c r="CQ58" s="207"/>
      <c r="CR58" s="207"/>
      <c r="CS58" s="207"/>
      <c r="CT58" s="207"/>
      <c r="CU58" s="207"/>
      <c r="CV58" s="207"/>
      <c r="CW58" s="207"/>
    </row>
    <row r="59" spans="1:101">
      <c r="B59" s="8" t="s">
        <v>537</v>
      </c>
      <c r="C59" s="208"/>
      <c r="D59" s="208">
        <v>0</v>
      </c>
      <c r="E59" s="208">
        <v>60</v>
      </c>
      <c r="F59" s="208">
        <v>60</v>
      </c>
      <c r="G59" s="208">
        <v>60</v>
      </c>
      <c r="H59" s="208">
        <v>50</v>
      </c>
      <c r="I59" s="208">
        <v>50</v>
      </c>
      <c r="J59" s="208">
        <v>50</v>
      </c>
      <c r="K59" s="208">
        <v>50</v>
      </c>
      <c r="L59" s="208">
        <v>50</v>
      </c>
      <c r="M59" s="208">
        <v>50</v>
      </c>
      <c r="N59" s="1"/>
      <c r="O59" s="208">
        <f>$D$59</f>
        <v>0</v>
      </c>
      <c r="P59" s="208">
        <f>$E$59</f>
        <v>60</v>
      </c>
      <c r="Q59" s="208">
        <f>$F$59</f>
        <v>60</v>
      </c>
      <c r="R59" s="208">
        <f>$G$59</f>
        <v>60</v>
      </c>
      <c r="S59" s="208">
        <f>$H$59</f>
        <v>50</v>
      </c>
      <c r="T59" s="208">
        <f>$I$59</f>
        <v>50</v>
      </c>
      <c r="U59" s="208">
        <f>$J$59</f>
        <v>50</v>
      </c>
      <c r="V59" s="208">
        <f>$K$59</f>
        <v>50</v>
      </c>
      <c r="W59" s="208">
        <f>$L$59</f>
        <v>50</v>
      </c>
      <c r="X59" s="208">
        <f>$M$59</f>
        <v>50</v>
      </c>
      <c r="Y59" s="1"/>
      <c r="Z59" s="208">
        <v>10</v>
      </c>
      <c r="AA59" s="208">
        <v>10</v>
      </c>
      <c r="AB59" s="208">
        <v>10</v>
      </c>
      <c r="AC59" s="208">
        <v>10</v>
      </c>
      <c r="AD59" s="208">
        <v>10</v>
      </c>
      <c r="AE59" s="208">
        <v>10</v>
      </c>
      <c r="AF59" s="208">
        <v>10</v>
      </c>
      <c r="AG59" s="208">
        <v>10</v>
      </c>
      <c r="AH59" s="208">
        <v>10</v>
      </c>
      <c r="AI59" s="208">
        <v>10</v>
      </c>
      <c r="AJ59" s="1"/>
      <c r="AK59" s="208">
        <f>$D$59</f>
        <v>0</v>
      </c>
      <c r="AL59" s="208">
        <f>$E$59</f>
        <v>60</v>
      </c>
      <c r="AM59" s="208">
        <f>$F$59</f>
        <v>60</v>
      </c>
      <c r="AN59" s="208">
        <f>$G$59</f>
        <v>60</v>
      </c>
      <c r="AO59" s="208">
        <f>$H$59</f>
        <v>50</v>
      </c>
      <c r="AP59" s="208">
        <f>$I$59</f>
        <v>50</v>
      </c>
      <c r="AQ59" s="208">
        <f>$J$59</f>
        <v>50</v>
      </c>
      <c r="AR59" s="208">
        <f>$K$59</f>
        <v>50</v>
      </c>
      <c r="AS59" s="208">
        <f>$L$59</f>
        <v>50</v>
      </c>
      <c r="AT59" s="208">
        <f>$M$59</f>
        <v>50</v>
      </c>
      <c r="AU59" s="1"/>
      <c r="AV59" s="208">
        <f>$D$59</f>
        <v>0</v>
      </c>
      <c r="AW59" s="208">
        <f>$E$59</f>
        <v>60</v>
      </c>
      <c r="AX59" s="208">
        <f>$F$59</f>
        <v>60</v>
      </c>
      <c r="AY59" s="208">
        <f>$G$59</f>
        <v>60</v>
      </c>
      <c r="AZ59" s="208">
        <f>$H$59</f>
        <v>50</v>
      </c>
      <c r="BA59" s="208">
        <f>$I$59</f>
        <v>50</v>
      </c>
      <c r="BB59" s="208">
        <f>$J$59</f>
        <v>50</v>
      </c>
      <c r="BC59" s="208">
        <f>$K$59</f>
        <v>50</v>
      </c>
      <c r="BD59" s="208">
        <f>$L$59</f>
        <v>50</v>
      </c>
      <c r="BE59" s="208">
        <f>$M$59</f>
        <v>50</v>
      </c>
      <c r="BF59" s="1"/>
      <c r="BG59" s="208"/>
      <c r="BH59" s="208"/>
      <c r="BI59" s="208"/>
      <c r="BJ59" s="208"/>
      <c r="BK59" s="208"/>
      <c r="BL59" s="208"/>
      <c r="BM59" s="208"/>
      <c r="BN59" s="208"/>
      <c r="BO59" s="208"/>
      <c r="BP59" s="208"/>
      <c r="BQ59" s="1"/>
      <c r="BR59" s="208"/>
      <c r="BS59" s="208"/>
      <c r="BT59" s="208"/>
      <c r="BU59" s="208"/>
      <c r="BV59" s="208"/>
      <c r="BW59" s="208"/>
      <c r="BX59" s="208"/>
      <c r="BY59" s="208"/>
      <c r="BZ59" s="208"/>
      <c r="CA59" s="208"/>
      <c r="CB59" s="1"/>
      <c r="CC59" s="208"/>
      <c r="CD59" s="208"/>
      <c r="CE59" s="208"/>
      <c r="CF59" s="208"/>
      <c r="CG59" s="208"/>
      <c r="CH59" s="208"/>
      <c r="CI59" s="208"/>
      <c r="CJ59" s="208"/>
      <c r="CK59" s="208"/>
      <c r="CL59" s="208"/>
      <c r="CM59" s="1"/>
      <c r="CN59" s="208"/>
      <c r="CO59" s="208"/>
      <c r="CP59" s="208"/>
      <c r="CQ59" s="208"/>
      <c r="CR59" s="208"/>
      <c r="CS59" s="208"/>
      <c r="CT59" s="208"/>
      <c r="CU59" s="208"/>
      <c r="CV59" s="208"/>
      <c r="CW59" s="208"/>
    </row>
    <row r="60" spans="1:101">
      <c r="B60" s="205" t="s">
        <v>110</v>
      </c>
      <c r="C60" s="207"/>
      <c r="D60" s="207">
        <f>_xlfn.XLOOKUP(D$5, 'Project Eureka ROI'!$F$21:$AL$21, 'Project Eureka ROI'!$F$35:$AL$35, 0)</f>
        <v>0</v>
      </c>
      <c r="E60" s="207">
        <f>_xlfn.XLOOKUP(E$5, 'Project Eureka ROI'!$F$21:$AL$21, 'Project Eureka ROI'!$F$35:$AL$35, 0)</f>
        <v>25</v>
      </c>
      <c r="F60" s="207">
        <f>_xlfn.XLOOKUP(F$5, 'Project Eureka ROI'!$F$21:$AL$21, 'Project Eureka ROI'!$F$35:$AL$35, 0)</f>
        <v>25</v>
      </c>
      <c r="G60" s="207">
        <f>_xlfn.XLOOKUP(G$5, 'Project Eureka ROI'!$F$21:$AL$21, 'Project Eureka ROI'!$F$35:$AL$35, 0)</f>
        <v>25</v>
      </c>
      <c r="H60" s="207">
        <f>_xlfn.XLOOKUP(H$5, 'Project Eureka ROI'!$F$21:$AL$21, 'Project Eureka ROI'!$F$35:$AL$35, 0)</f>
        <v>25</v>
      </c>
      <c r="I60" s="207">
        <f>_xlfn.XLOOKUP(I$5, 'Project Eureka ROI'!$F$21:$AL$21, 'Project Eureka ROI'!$F$35:$AL$35, 0)</f>
        <v>15</v>
      </c>
      <c r="J60" s="207">
        <f>_xlfn.XLOOKUP(J$5, 'Project Eureka ROI'!$F$21:$AL$21, 'Project Eureka ROI'!$F$35:$AL$35, 0)</f>
        <v>15</v>
      </c>
      <c r="K60" s="207">
        <f>_xlfn.XLOOKUP(K$5, 'Project Eureka ROI'!$F$21:$AL$21, 'Project Eureka ROI'!$F$35:$AL$35, 0)</f>
        <v>15</v>
      </c>
      <c r="L60" s="207">
        <f>_xlfn.XLOOKUP(L$5, 'Project Eureka ROI'!$F$21:$AL$21, 'Project Eureka ROI'!$F$35:$AL$35, 0)</f>
        <v>15</v>
      </c>
      <c r="M60" s="207">
        <f>_xlfn.XLOOKUP(M$5, 'Project Eureka ROI'!$F$21:$AL$21, 'Project Eureka ROI'!$F$35:$AL$35, 0)</f>
        <v>15</v>
      </c>
      <c r="N60" s="1"/>
      <c r="O60" s="207">
        <f>$D$60</f>
        <v>0</v>
      </c>
      <c r="P60" s="207">
        <f>$E$60</f>
        <v>25</v>
      </c>
      <c r="Q60" s="207">
        <f>$F$60</f>
        <v>25</v>
      </c>
      <c r="R60" s="207">
        <f>$G$60</f>
        <v>25</v>
      </c>
      <c r="S60" s="207">
        <f>$H$60</f>
        <v>25</v>
      </c>
      <c r="T60" s="207">
        <f>$I$60</f>
        <v>15</v>
      </c>
      <c r="U60" s="207">
        <f>$J$60</f>
        <v>15</v>
      </c>
      <c r="V60" s="207">
        <f>$K$60</f>
        <v>15</v>
      </c>
      <c r="W60" s="207">
        <f>$L$60</f>
        <v>15</v>
      </c>
      <c r="X60" s="207">
        <f>$M$60</f>
        <v>15</v>
      </c>
      <c r="Y60" s="1"/>
      <c r="Z60" s="207">
        <v>10</v>
      </c>
      <c r="AA60" s="207">
        <v>10</v>
      </c>
      <c r="AB60" s="207">
        <v>10</v>
      </c>
      <c r="AC60" s="207">
        <v>10</v>
      </c>
      <c r="AD60" s="207">
        <v>10</v>
      </c>
      <c r="AE60" s="207">
        <v>10</v>
      </c>
      <c r="AF60" s="207">
        <v>10</v>
      </c>
      <c r="AG60" s="207">
        <v>10</v>
      </c>
      <c r="AH60" s="207">
        <v>10</v>
      </c>
      <c r="AI60" s="207">
        <v>10</v>
      </c>
      <c r="AJ60" s="1"/>
      <c r="AK60" s="207">
        <f>$D$60</f>
        <v>0</v>
      </c>
      <c r="AL60" s="207">
        <f>$E$60</f>
        <v>25</v>
      </c>
      <c r="AM60" s="207">
        <f>$F$60</f>
        <v>25</v>
      </c>
      <c r="AN60" s="207">
        <f>$G$60</f>
        <v>25</v>
      </c>
      <c r="AO60" s="207">
        <f>$H$60</f>
        <v>25</v>
      </c>
      <c r="AP60" s="207">
        <f>$I$60</f>
        <v>15</v>
      </c>
      <c r="AQ60" s="207">
        <f>$J$60</f>
        <v>15</v>
      </c>
      <c r="AR60" s="207">
        <f>$K$60</f>
        <v>15</v>
      </c>
      <c r="AS60" s="207">
        <f>$L$60</f>
        <v>15</v>
      </c>
      <c r="AT60" s="207">
        <f>$M$60</f>
        <v>15</v>
      </c>
      <c r="AU60" s="1"/>
      <c r="AV60" s="207">
        <f>$D$60</f>
        <v>0</v>
      </c>
      <c r="AW60" s="207">
        <f>$E$60</f>
        <v>25</v>
      </c>
      <c r="AX60" s="207">
        <f>$F$60</f>
        <v>25</v>
      </c>
      <c r="AY60" s="207">
        <f>$G$60</f>
        <v>25</v>
      </c>
      <c r="AZ60" s="207">
        <f>$H$60</f>
        <v>25</v>
      </c>
      <c r="BA60" s="207">
        <f>$I$60</f>
        <v>15</v>
      </c>
      <c r="BB60" s="207">
        <f>$J$60</f>
        <v>15</v>
      </c>
      <c r="BC60" s="207">
        <f>$K$60</f>
        <v>15</v>
      </c>
      <c r="BD60" s="207">
        <f>$L$60</f>
        <v>15</v>
      </c>
      <c r="BE60" s="207">
        <f>$M$60</f>
        <v>15</v>
      </c>
      <c r="BF60" s="1"/>
      <c r="BG60" s="207">
        <v>0</v>
      </c>
      <c r="BH60" s="207">
        <v>0</v>
      </c>
      <c r="BI60" s="207">
        <v>0</v>
      </c>
      <c r="BJ60" s="207">
        <v>0</v>
      </c>
      <c r="BK60" s="207">
        <v>0</v>
      </c>
      <c r="BL60" s="207">
        <v>0</v>
      </c>
      <c r="BM60" s="207">
        <v>0</v>
      </c>
      <c r="BN60" s="207">
        <v>0</v>
      </c>
      <c r="BO60" s="207">
        <v>0</v>
      </c>
      <c r="BP60" s="207">
        <v>0</v>
      </c>
      <c r="BQ60" s="1"/>
      <c r="BR60" s="207">
        <v>0</v>
      </c>
      <c r="BS60" s="207">
        <v>0</v>
      </c>
      <c r="BT60" s="207">
        <v>0</v>
      </c>
      <c r="BU60" s="207">
        <v>0</v>
      </c>
      <c r="BV60" s="207">
        <v>0</v>
      </c>
      <c r="BW60" s="207">
        <v>0</v>
      </c>
      <c r="BX60" s="207">
        <v>0</v>
      </c>
      <c r="BY60" s="207">
        <v>0</v>
      </c>
      <c r="BZ60" s="207">
        <v>0</v>
      </c>
      <c r="CA60" s="207">
        <v>0</v>
      </c>
      <c r="CB60" s="1"/>
      <c r="CC60" s="207">
        <v>0</v>
      </c>
      <c r="CD60" s="207">
        <v>0</v>
      </c>
      <c r="CE60" s="207">
        <v>0</v>
      </c>
      <c r="CF60" s="207">
        <v>0</v>
      </c>
      <c r="CG60" s="207">
        <v>0</v>
      </c>
      <c r="CH60" s="207">
        <v>0</v>
      </c>
      <c r="CI60" s="207">
        <v>0</v>
      </c>
      <c r="CJ60" s="207">
        <v>0</v>
      </c>
      <c r="CK60" s="207">
        <v>0</v>
      </c>
      <c r="CL60" s="207">
        <v>0</v>
      </c>
      <c r="CM60" s="1"/>
      <c r="CN60" s="207">
        <f t="shared" ref="CN60:CW60" si="238">CC60</f>
        <v>0</v>
      </c>
      <c r="CO60" s="207">
        <f t="shared" si="238"/>
        <v>0</v>
      </c>
      <c r="CP60" s="207">
        <f t="shared" si="238"/>
        <v>0</v>
      </c>
      <c r="CQ60" s="207">
        <f t="shared" si="238"/>
        <v>0</v>
      </c>
      <c r="CR60" s="207">
        <f t="shared" si="238"/>
        <v>0</v>
      </c>
      <c r="CS60" s="207">
        <f t="shared" si="238"/>
        <v>0</v>
      </c>
      <c r="CT60" s="207">
        <f t="shared" si="238"/>
        <v>0</v>
      </c>
      <c r="CU60" s="207">
        <f t="shared" si="238"/>
        <v>0</v>
      </c>
      <c r="CV60" s="207">
        <f t="shared" si="238"/>
        <v>0</v>
      </c>
      <c r="CW60" s="207">
        <f t="shared" si="238"/>
        <v>0</v>
      </c>
    </row>
    <row r="61" spans="1:101" s="206" customFormat="1">
      <c r="A61" s="100"/>
      <c r="B61" s="100" t="s">
        <v>119</v>
      </c>
      <c r="D61" s="206">
        <f t="shared" ref="D61:M61" si="239">+IF(D49&gt;D48, D44 * (D48),D44*D49)</f>
        <v>0</v>
      </c>
      <c r="E61" s="206">
        <f t="shared" si="239"/>
        <v>1915.4761643835618</v>
      </c>
      <c r="F61" s="206">
        <f t="shared" si="239"/>
        <v>3977.7534246575342</v>
      </c>
      <c r="G61" s="206">
        <f t="shared" si="239"/>
        <v>4582.2293075342459</v>
      </c>
      <c r="H61" s="206">
        <f t="shared" si="239"/>
        <v>5107.9223769863011</v>
      </c>
      <c r="I61" s="206">
        <f t="shared" si="239"/>
        <v>1821.7530509842941</v>
      </c>
      <c r="J61" s="206">
        <f t="shared" si="239"/>
        <v>1942.8483571375371</v>
      </c>
      <c r="K61" s="206">
        <f t="shared" si="239"/>
        <v>1924.0134917629821</v>
      </c>
      <c r="L61" s="206">
        <f t="shared" si="239"/>
        <v>1907.9530176775945</v>
      </c>
      <c r="M61" s="206">
        <f t="shared" si="239"/>
        <v>1894.4338726022058</v>
      </c>
      <c r="O61" s="206">
        <f t="shared" ref="O61:X61" si="240">+IF(O49&gt;O48, O44 * (O48),O44*O49)</f>
        <v>0</v>
      </c>
      <c r="P61" s="206">
        <f t="shared" si="240"/>
        <v>0</v>
      </c>
      <c r="Q61" s="206">
        <f t="shared" si="240"/>
        <v>0</v>
      </c>
      <c r="R61" s="206">
        <f t="shared" si="240"/>
        <v>1540.8445710658063</v>
      </c>
      <c r="S61" s="206">
        <f t="shared" si="240"/>
        <v>5638.4389379041922</v>
      </c>
      <c r="T61" s="206">
        <f t="shared" si="240"/>
        <v>7326.3685954641496</v>
      </c>
      <c r="U61" s="206">
        <f t="shared" si="240"/>
        <v>7657.2125088262364</v>
      </c>
      <c r="V61" s="206">
        <f t="shared" si="240"/>
        <v>7574.2295752580549</v>
      </c>
      <c r="W61" s="206">
        <f t="shared" si="240"/>
        <v>7499.1783301559708</v>
      </c>
      <c r="X61" s="206">
        <f t="shared" si="240"/>
        <v>7431.3540134042769</v>
      </c>
      <c r="Z61" s="206">
        <f t="shared" ref="Z61:AI61" si="241">+Z44*Z49</f>
        <v>0</v>
      </c>
      <c r="AA61" s="206">
        <f t="shared" si="241"/>
        <v>0</v>
      </c>
      <c r="AB61" s="206">
        <f t="shared" si="241"/>
        <v>0</v>
      </c>
      <c r="AC61" s="206">
        <f t="shared" si="241"/>
        <v>30.507518136986299</v>
      </c>
      <c r="AD61" s="206">
        <f t="shared" si="241"/>
        <v>225.17900859616438</v>
      </c>
      <c r="AE61" s="206">
        <f t="shared" si="241"/>
        <v>455.81288732054804</v>
      </c>
      <c r="AF61" s="206">
        <f t="shared" si="241"/>
        <v>480.40466814246571</v>
      </c>
      <c r="AG61" s="206">
        <f t="shared" si="241"/>
        <v>480.40466814246571</v>
      </c>
      <c r="AH61" s="206">
        <f t="shared" si="241"/>
        <v>480.40466814246571</v>
      </c>
      <c r="AI61" s="206">
        <f t="shared" si="241"/>
        <v>480.40466814246571</v>
      </c>
      <c r="AK61" s="206">
        <f t="shared" ref="AK61:AT61" si="242">+AK44*AK49</f>
        <v>0</v>
      </c>
      <c r="AL61" s="206">
        <f t="shared" si="242"/>
        <v>0</v>
      </c>
      <c r="AM61" s="206">
        <f t="shared" si="242"/>
        <v>0</v>
      </c>
      <c r="AN61" s="206">
        <f t="shared" si="242"/>
        <v>57.534246575342465</v>
      </c>
      <c r="AO61" s="206">
        <f t="shared" si="242"/>
        <v>219.17808219178082</v>
      </c>
      <c r="AP61" s="206">
        <f t="shared" si="242"/>
        <v>170.69107878557418</v>
      </c>
      <c r="AQ61" s="206">
        <f t="shared" si="242"/>
        <v>242.16494681420343</v>
      </c>
      <c r="AR61" s="206">
        <f t="shared" si="242"/>
        <v>347.25901081411899</v>
      </c>
      <c r="AS61" s="206">
        <f t="shared" si="242"/>
        <v>501.96244286135106</v>
      </c>
      <c r="AT61" s="206">
        <f t="shared" si="242"/>
        <v>525.06341603384124</v>
      </c>
      <c r="AV61" s="206">
        <f t="shared" ref="AV61:BE61" si="243">+AV44*AV49</f>
        <v>0</v>
      </c>
      <c r="AW61" s="206">
        <f t="shared" si="243"/>
        <v>0</v>
      </c>
      <c r="AX61" s="206">
        <f t="shared" si="243"/>
        <v>0</v>
      </c>
      <c r="AY61" s="206">
        <f t="shared" si="243"/>
        <v>0</v>
      </c>
      <c r="AZ61" s="206">
        <f t="shared" si="243"/>
        <v>0</v>
      </c>
      <c r="BA61" s="206">
        <f t="shared" si="243"/>
        <v>422.50208625961454</v>
      </c>
      <c r="BB61" s="206">
        <f t="shared" si="243"/>
        <v>1558.0496858868582</v>
      </c>
      <c r="BC61" s="206">
        <f t="shared" si="243"/>
        <v>2369.488145751292</v>
      </c>
      <c r="BD61" s="206">
        <f t="shared" si="243"/>
        <v>2816.4436549078991</v>
      </c>
      <c r="BE61" s="206">
        <f t="shared" si="243"/>
        <v>2917.0436716162017</v>
      </c>
      <c r="BG61" s="206">
        <f t="shared" ref="BG61:BP61" si="244">+BG44*BG49</f>
        <v>0</v>
      </c>
      <c r="BH61" s="206">
        <f t="shared" si="244"/>
        <v>0</v>
      </c>
      <c r="BI61" s="206">
        <f t="shared" si="244"/>
        <v>0</v>
      </c>
      <c r="BJ61" s="206">
        <f t="shared" si="244"/>
        <v>0</v>
      </c>
      <c r="BK61" s="206">
        <f t="shared" si="244"/>
        <v>0</v>
      </c>
      <c r="BL61" s="206">
        <f t="shared" si="244"/>
        <v>0</v>
      </c>
      <c r="BM61" s="206">
        <f t="shared" si="244"/>
        <v>0</v>
      </c>
      <c r="BN61" s="206">
        <f t="shared" si="244"/>
        <v>0</v>
      </c>
      <c r="BO61" s="206">
        <f t="shared" si="244"/>
        <v>0</v>
      </c>
      <c r="BP61" s="206">
        <f t="shared" si="244"/>
        <v>0</v>
      </c>
      <c r="BR61" s="206">
        <f t="shared" ref="BR61:CA61" si="245">+BR44*BR49</f>
        <v>0</v>
      </c>
      <c r="BS61" s="206">
        <f t="shared" si="245"/>
        <v>0</v>
      </c>
      <c r="BT61" s="206">
        <f t="shared" si="245"/>
        <v>0</v>
      </c>
      <c r="BU61" s="206">
        <f t="shared" si="245"/>
        <v>0</v>
      </c>
      <c r="BV61" s="206">
        <f t="shared" si="245"/>
        <v>0</v>
      </c>
      <c r="BW61" s="206">
        <f t="shared" si="245"/>
        <v>0</v>
      </c>
      <c r="BX61" s="206">
        <f t="shared" si="245"/>
        <v>0</v>
      </c>
      <c r="BY61" s="206">
        <f t="shared" si="245"/>
        <v>0</v>
      </c>
      <c r="BZ61" s="206">
        <f t="shared" si="245"/>
        <v>0</v>
      </c>
      <c r="CA61" s="206">
        <f t="shared" si="245"/>
        <v>0</v>
      </c>
      <c r="CC61" s="206">
        <f t="shared" ref="CC61:CL61" si="246">+CC44*CC49</f>
        <v>0</v>
      </c>
      <c r="CD61" s="206">
        <f t="shared" si="246"/>
        <v>0</v>
      </c>
      <c r="CE61" s="206">
        <f t="shared" si="246"/>
        <v>0</v>
      </c>
      <c r="CF61" s="206">
        <f t="shared" si="246"/>
        <v>0</v>
      </c>
      <c r="CG61" s="206">
        <f t="shared" si="246"/>
        <v>0</v>
      </c>
      <c r="CH61" s="206">
        <f t="shared" si="246"/>
        <v>0</v>
      </c>
      <c r="CI61" s="206">
        <f t="shared" si="246"/>
        <v>0</v>
      </c>
      <c r="CJ61" s="206">
        <f t="shared" si="246"/>
        <v>0</v>
      </c>
      <c r="CK61" s="206">
        <f t="shared" si="246"/>
        <v>0</v>
      </c>
      <c r="CL61" s="206">
        <f t="shared" si="246"/>
        <v>0</v>
      </c>
      <c r="CN61" s="206">
        <f t="shared" ref="CN61:CW61" si="247">+CN44*CN49</f>
        <v>0</v>
      </c>
      <c r="CO61" s="206">
        <f t="shared" si="247"/>
        <v>0</v>
      </c>
      <c r="CP61" s="206">
        <f t="shared" si="247"/>
        <v>0</v>
      </c>
      <c r="CQ61" s="206">
        <f t="shared" si="247"/>
        <v>0</v>
      </c>
      <c r="CR61" s="206">
        <f t="shared" si="247"/>
        <v>0</v>
      </c>
      <c r="CS61" s="206">
        <f t="shared" si="247"/>
        <v>0</v>
      </c>
      <c r="CT61" s="206">
        <f t="shared" si="247"/>
        <v>0</v>
      </c>
      <c r="CU61" s="206">
        <f t="shared" si="247"/>
        <v>0</v>
      </c>
      <c r="CV61" s="206">
        <f t="shared" si="247"/>
        <v>0</v>
      </c>
      <c r="CW61" s="206">
        <f t="shared" si="247"/>
        <v>0</v>
      </c>
    </row>
    <row r="63" spans="1:101">
      <c r="B63" s="488" t="s">
        <v>630</v>
      </c>
      <c r="C63" s="489"/>
      <c r="D63" s="489"/>
      <c r="E63" s="490"/>
      <c r="F63" s="489"/>
      <c r="G63" s="489"/>
      <c r="H63" s="489"/>
      <c r="I63" s="489"/>
      <c r="J63" s="489"/>
      <c r="K63" s="489"/>
      <c r="L63" s="489"/>
      <c r="M63" s="489"/>
      <c r="O63" s="129"/>
      <c r="P63" s="129"/>
      <c r="Q63" s="129"/>
      <c r="R63" s="129"/>
      <c r="S63" s="129"/>
      <c r="T63" s="129"/>
      <c r="U63" s="129"/>
      <c r="V63" s="129"/>
      <c r="W63" s="129"/>
      <c r="X63" s="129"/>
      <c r="AA63" s="129"/>
      <c r="AB63" s="129"/>
      <c r="AC63" s="129"/>
      <c r="AD63" s="129"/>
      <c r="AE63" s="129"/>
      <c r="AF63" s="129"/>
      <c r="AG63" s="129"/>
      <c r="AH63" s="129"/>
      <c r="AI63" s="129"/>
      <c r="AJ63" s="129"/>
      <c r="AK63" s="129"/>
      <c r="AL63" s="129"/>
      <c r="AM63" s="129"/>
      <c r="AN63" s="129"/>
      <c r="AO63" s="129"/>
      <c r="AP63" s="129"/>
      <c r="AQ63" s="129"/>
      <c r="AR63" s="129"/>
      <c r="AS63" s="129"/>
      <c r="AT63" s="129"/>
      <c r="AV63" s="129"/>
      <c r="AW63" s="129"/>
      <c r="AX63" s="129"/>
      <c r="AY63" s="129"/>
      <c r="AZ63" s="129"/>
      <c r="BA63" s="129"/>
      <c r="BB63" s="129"/>
      <c r="BC63" s="129"/>
      <c r="BD63" s="129"/>
      <c r="BE63" s="129"/>
      <c r="BG63" s="489"/>
      <c r="BH63" s="489"/>
      <c r="BI63" s="490"/>
      <c r="BJ63" s="489"/>
      <c r="BK63" s="489"/>
      <c r="BL63" s="489"/>
      <c r="BM63" s="489"/>
      <c r="BN63" s="489"/>
      <c r="BO63" s="489"/>
      <c r="BP63" s="489"/>
      <c r="BR63" s="489"/>
      <c r="BS63" s="489"/>
      <c r="BT63" s="490"/>
      <c r="BU63" s="489"/>
      <c r="BV63" s="489"/>
      <c r="BW63" s="489"/>
      <c r="BX63" s="489"/>
      <c r="BY63" s="489"/>
      <c r="BZ63" s="489"/>
      <c r="CA63" s="489"/>
      <c r="CC63" s="489"/>
      <c r="CD63" s="489"/>
      <c r="CE63" s="490"/>
      <c r="CF63" s="489"/>
      <c r="CG63" s="489"/>
      <c r="CH63" s="489"/>
      <c r="CI63" s="489"/>
      <c r="CJ63" s="489"/>
      <c r="CK63" s="489"/>
      <c r="CL63" s="489"/>
      <c r="CN63" s="489"/>
      <c r="CO63" s="489"/>
      <c r="CP63" s="490"/>
      <c r="CQ63" s="489"/>
      <c r="CR63" s="489"/>
      <c r="CS63" s="489"/>
      <c r="CT63" s="489"/>
      <c r="CU63" s="489"/>
      <c r="CV63" s="489"/>
      <c r="CW63" s="489"/>
    </row>
    <row r="64" spans="1:101">
      <c r="B64" s="19" t="s">
        <v>626</v>
      </c>
      <c r="C64" s="20"/>
      <c r="D64" s="20"/>
      <c r="E64" s="20">
        <v>1784.2000000000003</v>
      </c>
      <c r="F64" s="20">
        <v>0</v>
      </c>
      <c r="G64" s="20">
        <v>0</v>
      </c>
      <c r="H64" s="20">
        <v>0</v>
      </c>
      <c r="I64" s="20">
        <v>0</v>
      </c>
      <c r="J64" s="20">
        <v>0</v>
      </c>
      <c r="K64" s="20">
        <v>0</v>
      </c>
      <c r="L64" s="20">
        <v>0</v>
      </c>
      <c r="M64" s="20">
        <f>L64*1.03</f>
        <v>0</v>
      </c>
      <c r="BG64" s="20"/>
      <c r="BH64" s="20"/>
      <c r="BI64" s="20"/>
      <c r="BJ64" s="20"/>
      <c r="BK64" s="20"/>
      <c r="BL64" s="20"/>
      <c r="BM64" s="20"/>
      <c r="BN64" s="20"/>
      <c r="BO64" s="20"/>
      <c r="BP64" s="20"/>
      <c r="BR64" s="20"/>
      <c r="BS64" s="20"/>
      <c r="BT64" s="20"/>
      <c r="BU64" s="20"/>
      <c r="BV64" s="20"/>
      <c r="BW64" s="20"/>
      <c r="BX64" s="20"/>
      <c r="BY64" s="20"/>
      <c r="BZ64" s="20"/>
      <c r="CA64" s="20"/>
      <c r="CC64" s="20"/>
      <c r="CD64" s="20"/>
      <c r="CE64" s="20"/>
      <c r="CF64" s="20"/>
      <c r="CG64" s="20"/>
      <c r="CH64" s="20"/>
      <c r="CI64" s="20"/>
      <c r="CJ64" s="20"/>
      <c r="CK64" s="20"/>
      <c r="CL64" s="20"/>
      <c r="CN64" s="20"/>
      <c r="CO64" s="20"/>
      <c r="CP64" s="20"/>
      <c r="CQ64" s="20"/>
      <c r="CR64" s="20"/>
      <c r="CS64" s="20"/>
      <c r="CT64" s="20"/>
      <c r="CU64" s="20"/>
      <c r="CV64" s="20"/>
      <c r="CW64" s="20"/>
    </row>
    <row r="65" spans="2:101">
      <c r="B65" s="19" t="s">
        <v>627</v>
      </c>
      <c r="C65" s="20"/>
      <c r="D65" s="20"/>
      <c r="E65" s="20">
        <v>2180.5068189388139</v>
      </c>
      <c r="F65" s="20">
        <v>5505.9133434485666</v>
      </c>
      <c r="G65" s="20">
        <v>7415.4982014426632</v>
      </c>
      <c r="H65" s="20">
        <v>8816.1182153116497</v>
      </c>
      <c r="I65" s="20">
        <v>7590.8965869133835</v>
      </c>
      <c r="J65" s="20">
        <v>9240.1964064681015</v>
      </c>
      <c r="K65" s="20">
        <v>9278.2107809031731</v>
      </c>
      <c r="L65" s="20">
        <v>9278.2107809031731</v>
      </c>
      <c r="M65" s="20">
        <f>L65*1.03</f>
        <v>9556.557104330268</v>
      </c>
      <c r="BG65" s="20"/>
      <c r="BH65" s="20"/>
      <c r="BI65" s="20"/>
      <c r="BJ65" s="20"/>
      <c r="BK65" s="20"/>
      <c r="BL65" s="20"/>
      <c r="BM65" s="20"/>
      <c r="BN65" s="20"/>
      <c r="BO65" s="20"/>
      <c r="BP65" s="20"/>
      <c r="BR65" s="20"/>
      <c r="BS65" s="20"/>
      <c r="BT65" s="20"/>
      <c r="BU65" s="20"/>
      <c r="BV65" s="20"/>
      <c r="BW65" s="20"/>
      <c r="BX65" s="20"/>
      <c r="BY65" s="20"/>
      <c r="BZ65" s="20"/>
      <c r="CA65" s="20"/>
      <c r="CC65" s="20"/>
      <c r="CD65" s="20"/>
      <c r="CE65" s="20"/>
      <c r="CF65" s="20"/>
      <c r="CG65" s="20"/>
      <c r="CH65" s="20"/>
      <c r="CI65" s="20"/>
      <c r="CJ65" s="20"/>
      <c r="CK65" s="20"/>
      <c r="CL65" s="20"/>
      <c r="CN65" s="20"/>
      <c r="CO65" s="20"/>
      <c r="CP65" s="20"/>
      <c r="CQ65" s="20"/>
      <c r="CR65" s="20"/>
      <c r="CS65" s="20"/>
      <c r="CT65" s="20"/>
      <c r="CU65" s="20"/>
      <c r="CV65" s="20"/>
      <c r="CW65" s="20"/>
    </row>
    <row r="66" spans="2:101">
      <c r="B66" s="19" t="s">
        <v>628</v>
      </c>
      <c r="C66" s="20"/>
      <c r="D66" s="20"/>
      <c r="E66" s="20">
        <v>3143.2980744029201</v>
      </c>
      <c r="F66" s="20">
        <v>2657.9933231066693</v>
      </c>
      <c r="G66" s="20">
        <v>2711.7950427516298</v>
      </c>
      <c r="H66" s="20">
        <v>2943.8857006223884</v>
      </c>
      <c r="I66" s="20">
        <v>3192.3054979855779</v>
      </c>
      <c r="J66" s="20">
        <v>3457.9894193479977</v>
      </c>
      <c r="K66" s="20">
        <v>3543.7911428426119</v>
      </c>
      <c r="L66" s="20">
        <v>3633.0249752770078</v>
      </c>
      <c r="M66" s="20">
        <f>L66*1.03</f>
        <v>3742.015724535318</v>
      </c>
      <c r="BG66" s="20"/>
      <c r="BH66" s="20"/>
      <c r="BI66" s="20"/>
      <c r="BJ66" s="20"/>
      <c r="BK66" s="20"/>
      <c r="BL66" s="20"/>
      <c r="BM66" s="20"/>
      <c r="BN66" s="20"/>
      <c r="BO66" s="20"/>
      <c r="BP66" s="20"/>
      <c r="BR66" s="20"/>
      <c r="BS66" s="20"/>
      <c r="BT66" s="20"/>
      <c r="BU66" s="20"/>
      <c r="BV66" s="20"/>
      <c r="BW66" s="20"/>
      <c r="BX66" s="20"/>
      <c r="BY66" s="20"/>
      <c r="BZ66" s="20"/>
      <c r="CA66" s="20"/>
      <c r="CC66" s="20"/>
      <c r="CD66" s="20"/>
      <c r="CE66" s="20"/>
      <c r="CF66" s="20"/>
      <c r="CG66" s="20"/>
      <c r="CH66" s="20"/>
      <c r="CI66" s="20"/>
      <c r="CJ66" s="20"/>
      <c r="CK66" s="20"/>
      <c r="CL66" s="20"/>
      <c r="CN66" s="20"/>
      <c r="CO66" s="20"/>
      <c r="CP66" s="20"/>
      <c r="CQ66" s="20"/>
      <c r="CR66" s="20"/>
      <c r="CS66" s="20"/>
      <c r="CT66" s="20"/>
      <c r="CU66" s="20"/>
      <c r="CV66" s="20"/>
      <c r="CW66" s="20"/>
    </row>
    <row r="67" spans="2:101">
      <c r="B67" s="19" t="s">
        <v>547</v>
      </c>
      <c r="C67" s="20"/>
      <c r="D67" s="20"/>
      <c r="E67" s="20"/>
      <c r="F67" s="20"/>
      <c r="G67" s="20"/>
      <c r="H67" s="20"/>
      <c r="I67" s="20"/>
      <c r="J67" s="20"/>
      <c r="K67" s="20"/>
      <c r="L67" s="20"/>
      <c r="M67" s="20"/>
      <c r="BG67" s="20">
        <f>_xlfn.XLOOKUP(BG$5, 'Project Eureka ROI'!$F$21:$AL$21, 'Project Eureka ROI'!$F128:$AL128, 0)  *  0.5</f>
        <v>0</v>
      </c>
      <c r="BH67" s="20">
        <f>_xlfn.XLOOKUP(BH$5, 'Project Eureka ROI'!$F$21:$AL$21, 'Project Eureka ROI'!$F128:$AL128, 0)  *  0.5</f>
        <v>729</v>
      </c>
      <c r="BI67" s="20">
        <f>_xlfn.XLOOKUP(BI$5, 'Project Eureka ROI'!$F$21:$AL$21, 'Project Eureka ROI'!$F128:$AL128, 0)  *  0.5</f>
        <v>750.87</v>
      </c>
      <c r="BJ67" s="20">
        <f>_xlfn.XLOOKUP(BJ$5, 'Project Eureka ROI'!$F$21:$AL$21, 'Project Eureka ROI'!$F128:$AL128, 0)  *  0.5</f>
        <v>773.39610000000005</v>
      </c>
      <c r="BK67" s="20">
        <f>_xlfn.XLOOKUP(BK$5, 'Project Eureka ROI'!$F$21:$AL$21, 'Project Eureka ROI'!$F128:$AL128, 0)  *  0.5</f>
        <v>796.59798300000011</v>
      </c>
      <c r="BL67" s="20">
        <f>_xlfn.XLOOKUP(BL$5, 'Project Eureka ROI'!$F$21:$AL$21, 'Project Eureka ROI'!$F128:$AL128, 0)  *  0.5</f>
        <v>820.49592249000011</v>
      </c>
      <c r="BM67" s="20">
        <f>_xlfn.XLOOKUP(BM$5, 'Project Eureka ROI'!$F$21:$AL$21, 'Project Eureka ROI'!$F128:$AL128, 0)  *  0.5</f>
        <v>845.11080016470009</v>
      </c>
      <c r="BN67" s="20">
        <f>_xlfn.XLOOKUP(BN$5, 'Project Eureka ROI'!$F$21:$AL$21, 'Project Eureka ROI'!$F128:$AL128, 0)  *  0.5</f>
        <v>870.46412416964108</v>
      </c>
      <c r="BO67" s="20">
        <f>_xlfn.XLOOKUP(BO$5, 'Project Eureka ROI'!$F$21:$AL$21, 'Project Eureka ROI'!$F128:$AL128, 0)  *  0.5</f>
        <v>896.57804789473039</v>
      </c>
      <c r="BP67" s="20">
        <f>_xlfn.XLOOKUP(BP$5, 'Project Eureka ROI'!$F$21:$AL$21, 'Project Eureka ROI'!$F128:$AL128, 0)  *  0.5</f>
        <v>923.47538933157227</v>
      </c>
      <c r="BR67" s="20">
        <f>_xlfn.XLOOKUP(BR$5, 'Project Eureka ROI'!$F$21:$AL$21, 'Project Eureka ROI'!$F128:$AL128, 0)  *  0.5</f>
        <v>0</v>
      </c>
      <c r="BS67" s="20">
        <f>_xlfn.XLOOKUP(BS$5, 'Project Eureka ROI'!$F$21:$AL$21, 'Project Eureka ROI'!$F128:$AL128, 0)  *  0.5</f>
        <v>729</v>
      </c>
      <c r="BT67" s="20">
        <f>_xlfn.XLOOKUP(BT$5, 'Project Eureka ROI'!$F$21:$AL$21, 'Project Eureka ROI'!$F128:$AL128, 0)  *  0.5</f>
        <v>750.87</v>
      </c>
      <c r="BU67" s="20">
        <f>_xlfn.XLOOKUP(BU$5, 'Project Eureka ROI'!$F$21:$AL$21, 'Project Eureka ROI'!$F128:$AL128, 0)  *  0.5</f>
        <v>773.39610000000005</v>
      </c>
      <c r="BV67" s="20">
        <f>_xlfn.XLOOKUP(BV$5, 'Project Eureka ROI'!$F$21:$AL$21, 'Project Eureka ROI'!$F128:$AL128, 0)  *  0.5</f>
        <v>796.59798300000011</v>
      </c>
      <c r="BW67" s="20">
        <f>_xlfn.XLOOKUP(BW$5, 'Project Eureka ROI'!$F$21:$AL$21, 'Project Eureka ROI'!$F128:$AL128, 0)  *  0.5</f>
        <v>820.49592249000011</v>
      </c>
      <c r="BX67" s="20">
        <f>_xlfn.XLOOKUP(BX$5, 'Project Eureka ROI'!$F$21:$AL$21, 'Project Eureka ROI'!$F128:$AL128, 0)  *  0.5</f>
        <v>845.11080016470009</v>
      </c>
      <c r="BY67" s="20">
        <f>_xlfn.XLOOKUP(BY$5, 'Project Eureka ROI'!$F$21:$AL$21, 'Project Eureka ROI'!$F128:$AL128, 0)  *  0.5</f>
        <v>870.46412416964108</v>
      </c>
      <c r="BZ67" s="20">
        <f>_xlfn.XLOOKUP(BZ$5, 'Project Eureka ROI'!$F$21:$AL$21, 'Project Eureka ROI'!$F128:$AL128, 0)  *  0.5</f>
        <v>896.57804789473039</v>
      </c>
      <c r="CA67" s="20">
        <f>_xlfn.XLOOKUP(CA$5, 'Project Eureka ROI'!$F$21:$AL$21, 'Project Eureka ROI'!$F128:$AL128, 0)  *  0.5</f>
        <v>923.47538933157227</v>
      </c>
      <c r="CC67" s="20"/>
      <c r="CD67" s="20"/>
      <c r="CE67" s="20"/>
      <c r="CF67" s="20"/>
      <c r="CG67" s="20"/>
      <c r="CH67" s="20"/>
      <c r="CI67" s="20"/>
      <c r="CJ67" s="20"/>
      <c r="CK67" s="20"/>
      <c r="CL67" s="20"/>
      <c r="CN67" s="20"/>
      <c r="CO67" s="20"/>
      <c r="CP67" s="20"/>
      <c r="CQ67" s="20"/>
      <c r="CR67" s="20"/>
      <c r="CS67" s="20"/>
      <c r="CT67" s="20"/>
      <c r="CU67" s="20"/>
      <c r="CV67" s="20"/>
      <c r="CW67" s="20"/>
    </row>
    <row r="68" spans="2:101">
      <c r="B68" s="19" t="s">
        <v>548</v>
      </c>
      <c r="C68" s="20"/>
      <c r="D68" s="20"/>
      <c r="E68" s="20"/>
      <c r="F68" s="20"/>
      <c r="G68" s="20"/>
      <c r="H68" s="20"/>
      <c r="I68" s="20"/>
      <c r="J68" s="20"/>
      <c r="K68" s="20"/>
      <c r="L68" s="20"/>
      <c r="M68" s="20"/>
      <c r="BG68" s="20">
        <f>_xlfn.XLOOKUP(BG$5, 'Project Eureka ROI'!$F$21:$AL$21, 'Project Eureka ROI'!$F129:$AL129, 0)  *  0.5</f>
        <v>0</v>
      </c>
      <c r="BH68" s="20">
        <f>_xlfn.XLOOKUP(BH$5, 'Project Eureka ROI'!$F$21:$AL$21, 'Project Eureka ROI'!$F129:$AL129, 0)  *  0.5</f>
        <v>838.5</v>
      </c>
      <c r="BI68" s="20">
        <f>_xlfn.XLOOKUP(BI$5, 'Project Eureka ROI'!$F$21:$AL$21, 'Project Eureka ROI'!$F129:$AL129, 0)  *  0.5</f>
        <v>863.65499999999997</v>
      </c>
      <c r="BJ68" s="20">
        <f>_xlfn.XLOOKUP(BJ$5, 'Project Eureka ROI'!$F$21:$AL$21, 'Project Eureka ROI'!$F129:$AL129, 0)  *  0.5</f>
        <v>889.56465000000003</v>
      </c>
      <c r="BK68" s="20">
        <f>_xlfn.XLOOKUP(BK$5, 'Project Eureka ROI'!$F$21:$AL$21, 'Project Eureka ROI'!$F129:$AL129, 0)  *  0.5</f>
        <v>916.25158950000002</v>
      </c>
      <c r="BL68" s="20">
        <f>_xlfn.XLOOKUP(BL$5, 'Project Eureka ROI'!$F$21:$AL$21, 'Project Eureka ROI'!$F129:$AL129, 0)  *  0.5</f>
        <v>943.739137185</v>
      </c>
      <c r="BM68" s="20">
        <f>_xlfn.XLOOKUP(BM$5, 'Project Eureka ROI'!$F$21:$AL$21, 'Project Eureka ROI'!$F129:$AL129, 0)  *  0.5</f>
        <v>972.05131130055008</v>
      </c>
      <c r="BN68" s="20">
        <f>_xlfn.XLOOKUP(BN$5, 'Project Eureka ROI'!$F$21:$AL$21, 'Project Eureka ROI'!$F129:$AL129, 0)  *  0.5</f>
        <v>1001.2128506395666</v>
      </c>
      <c r="BO68" s="20">
        <f>_xlfn.XLOOKUP(BO$5, 'Project Eureka ROI'!$F$21:$AL$21, 'Project Eureka ROI'!$F129:$AL129, 0)  *  0.5</f>
        <v>1031.2492361587535</v>
      </c>
      <c r="BP68" s="20">
        <f>_xlfn.XLOOKUP(BP$5, 'Project Eureka ROI'!$F$21:$AL$21, 'Project Eureka ROI'!$F129:$AL129, 0)  *  0.5</f>
        <v>1062.1867132435161</v>
      </c>
      <c r="BR68" s="20">
        <f>_xlfn.XLOOKUP(BR$5, 'Project Eureka ROI'!$F$21:$AL$21, 'Project Eureka ROI'!$F129:$AL129, 0)  *  0.5</f>
        <v>0</v>
      </c>
      <c r="BS68" s="20">
        <f>_xlfn.XLOOKUP(BS$5, 'Project Eureka ROI'!$F$21:$AL$21, 'Project Eureka ROI'!$F129:$AL129, 0)  *  0.5</f>
        <v>838.5</v>
      </c>
      <c r="BT68" s="20">
        <f>_xlfn.XLOOKUP(BT$5, 'Project Eureka ROI'!$F$21:$AL$21, 'Project Eureka ROI'!$F129:$AL129, 0)  *  0.5</f>
        <v>863.65499999999997</v>
      </c>
      <c r="BU68" s="20">
        <f>_xlfn.XLOOKUP(BU$5, 'Project Eureka ROI'!$F$21:$AL$21, 'Project Eureka ROI'!$F129:$AL129, 0)  *  0.5</f>
        <v>889.56465000000003</v>
      </c>
      <c r="BV68" s="20">
        <f>_xlfn.XLOOKUP(BV$5, 'Project Eureka ROI'!$F$21:$AL$21, 'Project Eureka ROI'!$F129:$AL129, 0)  *  0.5</f>
        <v>916.25158950000002</v>
      </c>
      <c r="BW68" s="20">
        <f>_xlfn.XLOOKUP(BW$5, 'Project Eureka ROI'!$F$21:$AL$21, 'Project Eureka ROI'!$F129:$AL129, 0)  *  0.5</f>
        <v>943.739137185</v>
      </c>
      <c r="BX68" s="20">
        <f>_xlfn.XLOOKUP(BX$5, 'Project Eureka ROI'!$F$21:$AL$21, 'Project Eureka ROI'!$F129:$AL129, 0)  *  0.5</f>
        <v>972.05131130055008</v>
      </c>
      <c r="BY68" s="20">
        <f>_xlfn.XLOOKUP(BY$5, 'Project Eureka ROI'!$F$21:$AL$21, 'Project Eureka ROI'!$F129:$AL129, 0)  *  0.5</f>
        <v>1001.2128506395666</v>
      </c>
      <c r="BZ68" s="20">
        <f>_xlfn.XLOOKUP(BZ$5, 'Project Eureka ROI'!$F$21:$AL$21, 'Project Eureka ROI'!$F129:$AL129, 0)  *  0.5</f>
        <v>1031.2492361587535</v>
      </c>
      <c r="CA68" s="20">
        <f>_xlfn.XLOOKUP(CA$5, 'Project Eureka ROI'!$F$21:$AL$21, 'Project Eureka ROI'!$F129:$AL129, 0)  *  0.5</f>
        <v>1062.1867132435161</v>
      </c>
      <c r="CC68" s="20"/>
      <c r="CD68" s="20"/>
      <c r="CE68" s="20"/>
      <c r="CF68" s="20"/>
      <c r="CG68" s="20"/>
      <c r="CH68" s="20"/>
      <c r="CI68" s="20"/>
      <c r="CJ68" s="20"/>
      <c r="CK68" s="20"/>
      <c r="CL68" s="20"/>
      <c r="CN68" s="20"/>
      <c r="CO68" s="20"/>
      <c r="CP68" s="20"/>
      <c r="CQ68" s="20"/>
      <c r="CR68" s="20"/>
      <c r="CS68" s="20"/>
      <c r="CT68" s="20"/>
      <c r="CU68" s="20"/>
      <c r="CV68" s="20"/>
      <c r="CW68" s="20"/>
    </row>
    <row r="69" spans="2:101">
      <c r="B69" s="19" t="s">
        <v>549</v>
      </c>
      <c r="C69" s="20"/>
      <c r="D69" s="20"/>
      <c r="E69" s="20"/>
      <c r="F69" s="20"/>
      <c r="G69" s="20"/>
      <c r="H69" s="20"/>
      <c r="I69" s="20"/>
      <c r="J69" s="20"/>
      <c r="K69" s="20"/>
      <c r="L69" s="20"/>
      <c r="M69" s="20"/>
      <c r="BG69" s="20"/>
      <c r="BH69" s="20"/>
      <c r="BI69" s="20"/>
      <c r="BJ69" s="20"/>
      <c r="BK69" s="20"/>
      <c r="BL69" s="20"/>
      <c r="BM69" s="20"/>
      <c r="BN69" s="20"/>
      <c r="BO69" s="20"/>
      <c r="BP69" s="20"/>
      <c r="BR69" s="20"/>
      <c r="BS69" s="20"/>
      <c r="BT69" s="20"/>
      <c r="BU69" s="20"/>
      <c r="BV69" s="20"/>
      <c r="BW69" s="20"/>
      <c r="BX69" s="20"/>
      <c r="BY69" s="20"/>
      <c r="BZ69" s="20"/>
      <c r="CA69" s="20"/>
      <c r="CC69" s="20">
        <f>_xlfn.XLOOKUP(CC$5, 'Project Eureka ROI'!$F$21:$AL$21, 'Project Eureka ROI'!$F130:$AL130, 0)</f>
        <v>0</v>
      </c>
      <c r="CD69" s="20">
        <f>_xlfn.XLOOKUP(CD$5, 'Project Eureka ROI'!$F$21:$AL$21, 'Project Eureka ROI'!$F130:$AL130, 0)</f>
        <v>1700</v>
      </c>
      <c r="CE69" s="20">
        <f>_xlfn.XLOOKUP(CE$5, 'Project Eureka ROI'!$F$21:$AL$21, 'Project Eureka ROI'!$F130:$AL130, 0)</f>
        <v>1751</v>
      </c>
      <c r="CF69" s="20">
        <f>_xlfn.XLOOKUP(CF$5, 'Project Eureka ROI'!$F$21:$AL$21, 'Project Eureka ROI'!$F130:$AL130, 0)</f>
        <v>1803.53</v>
      </c>
      <c r="CG69" s="20">
        <f>_xlfn.XLOOKUP(CG$5, 'Project Eureka ROI'!$F$21:$AL$21, 'Project Eureka ROI'!$F130:$AL130, 0)</f>
        <v>1857.6359</v>
      </c>
      <c r="CH69" s="20">
        <f>_xlfn.XLOOKUP(CH$5, 'Project Eureka ROI'!$F$21:$AL$21, 'Project Eureka ROI'!$F130:$AL130, 0)</f>
        <v>1913.364977</v>
      </c>
      <c r="CI69" s="20">
        <f>_xlfn.XLOOKUP(CI$5, 'Project Eureka ROI'!$F$21:$AL$21, 'Project Eureka ROI'!$F130:$AL130, 0)</f>
        <v>1970.7659263099999</v>
      </c>
      <c r="CJ69" s="20">
        <f>_xlfn.XLOOKUP(CJ$5, 'Project Eureka ROI'!$F$21:$AL$21, 'Project Eureka ROI'!$F130:$AL130, 0)</f>
        <v>2029.8889040992999</v>
      </c>
      <c r="CK69" s="20">
        <f>_xlfn.XLOOKUP(CK$5, 'Project Eureka ROI'!$F$21:$AL$21, 'Project Eureka ROI'!$F130:$AL130, 0)</f>
        <v>2090.785571222279</v>
      </c>
      <c r="CL69" s="20">
        <f>_xlfn.XLOOKUP(CL$5, 'Project Eureka ROI'!$F$21:$AL$21, 'Project Eureka ROI'!$F130:$AL130, 0)</f>
        <v>2153.5091383589474</v>
      </c>
      <c r="CN69" s="20"/>
      <c r="CO69" s="20"/>
      <c r="CP69" s="20"/>
      <c r="CQ69" s="20"/>
      <c r="CR69" s="20"/>
      <c r="CS69" s="20"/>
      <c r="CT69" s="20"/>
      <c r="CU69" s="20"/>
      <c r="CV69" s="20"/>
      <c r="CW69" s="20"/>
    </row>
    <row r="70" spans="2:101">
      <c r="B70" s="19" t="s">
        <v>550</v>
      </c>
      <c r="C70" s="20"/>
      <c r="D70" s="20"/>
      <c r="E70" s="20"/>
      <c r="F70" s="20"/>
      <c r="G70" s="20"/>
      <c r="H70" s="20"/>
      <c r="I70" s="20"/>
      <c r="J70" s="20"/>
      <c r="K70" s="20"/>
      <c r="L70" s="20"/>
      <c r="M70" s="20"/>
      <c r="BG70" s="20"/>
      <c r="BH70" s="20"/>
      <c r="BI70" s="20"/>
      <c r="BJ70" s="20"/>
      <c r="BK70" s="20"/>
      <c r="BL70" s="20"/>
      <c r="BM70" s="20"/>
      <c r="BN70" s="20"/>
      <c r="BO70" s="20"/>
      <c r="BP70" s="20"/>
      <c r="BR70" s="20"/>
      <c r="BS70" s="20"/>
      <c r="BT70" s="20"/>
      <c r="BU70" s="20"/>
      <c r="BV70" s="20"/>
      <c r="BW70" s="20"/>
      <c r="BX70" s="20"/>
      <c r="BY70" s="20"/>
      <c r="BZ70" s="20"/>
      <c r="CA70" s="20"/>
      <c r="CC70" s="20">
        <f>_xlfn.XLOOKUP(CC$5, 'Project Eureka ROI'!$F$21:$AL$21, 'Project Eureka ROI'!$F131:$AL131, 0)</f>
        <v>0</v>
      </c>
      <c r="CD70" s="20">
        <f>_xlfn.XLOOKUP(CD$5, 'Project Eureka ROI'!$F$21:$AL$21, 'Project Eureka ROI'!$F131:$AL131, 0)</f>
        <v>1263</v>
      </c>
      <c r="CE70" s="20">
        <f>_xlfn.XLOOKUP(CE$5, 'Project Eureka ROI'!$F$21:$AL$21, 'Project Eureka ROI'!$F131:$AL131, 0)</f>
        <v>1300.8900000000001</v>
      </c>
      <c r="CF70" s="20">
        <f>_xlfn.XLOOKUP(CF$5, 'Project Eureka ROI'!$F$21:$AL$21, 'Project Eureka ROI'!$F131:$AL131, 0)</f>
        <v>1339.9167000000002</v>
      </c>
      <c r="CG70" s="20">
        <f>_xlfn.XLOOKUP(CG$5, 'Project Eureka ROI'!$F$21:$AL$21, 'Project Eureka ROI'!$F131:$AL131, 0)</f>
        <v>1380.1142010000003</v>
      </c>
      <c r="CH70" s="20">
        <f>_xlfn.XLOOKUP(CH$5, 'Project Eureka ROI'!$F$21:$AL$21, 'Project Eureka ROI'!$F131:$AL131, 0)</f>
        <v>1421.5176270300003</v>
      </c>
      <c r="CI70" s="20">
        <f>_xlfn.XLOOKUP(CI$5, 'Project Eureka ROI'!$F$21:$AL$21, 'Project Eureka ROI'!$F131:$AL131, 0)</f>
        <v>1464.1631558409003</v>
      </c>
      <c r="CJ70" s="20">
        <f>_xlfn.XLOOKUP(CJ$5, 'Project Eureka ROI'!$F$21:$AL$21, 'Project Eureka ROI'!$F131:$AL131, 0)</f>
        <v>1508.0880505161274</v>
      </c>
      <c r="CK70" s="20">
        <f>_xlfn.XLOOKUP(CK$5, 'Project Eureka ROI'!$F$21:$AL$21, 'Project Eureka ROI'!$F131:$AL131, 0)</f>
        <v>1553.3306920316113</v>
      </c>
      <c r="CL70" s="20">
        <f>_xlfn.XLOOKUP(CL$5, 'Project Eureka ROI'!$F$21:$AL$21, 'Project Eureka ROI'!$F131:$AL131, 0)</f>
        <v>1599.9306127925597</v>
      </c>
      <c r="CN70" s="20"/>
      <c r="CO70" s="20"/>
      <c r="CP70" s="20"/>
      <c r="CQ70" s="20"/>
      <c r="CR70" s="20"/>
      <c r="CS70" s="20"/>
      <c r="CT70" s="20"/>
      <c r="CU70" s="20"/>
      <c r="CV70" s="20"/>
      <c r="CW70" s="20"/>
    </row>
    <row r="71" spans="2:101">
      <c r="B71" s="19"/>
      <c r="C71" s="20"/>
      <c r="D71" s="20"/>
      <c r="E71" s="20"/>
      <c r="F71" s="20"/>
      <c r="G71" s="20"/>
      <c r="H71" s="20"/>
      <c r="I71" s="20"/>
      <c r="J71" s="20"/>
      <c r="K71" s="20"/>
      <c r="L71" s="20"/>
      <c r="M71" s="20"/>
      <c r="BG71" s="20"/>
      <c r="BH71" s="20"/>
      <c r="BI71" s="20"/>
      <c r="BJ71" s="20"/>
      <c r="BK71" s="20"/>
      <c r="BL71" s="20"/>
      <c r="BM71" s="20"/>
      <c r="BN71" s="20"/>
      <c r="BO71" s="20"/>
      <c r="BP71" s="20"/>
      <c r="BR71" s="20"/>
      <c r="BS71" s="20"/>
      <c r="BT71" s="20"/>
      <c r="BU71" s="20"/>
      <c r="BV71" s="20"/>
      <c r="BW71" s="20"/>
      <c r="BX71" s="20"/>
      <c r="BY71" s="20"/>
      <c r="BZ71" s="20"/>
      <c r="CA71" s="20"/>
      <c r="CC71" s="20"/>
      <c r="CD71" s="20"/>
      <c r="CE71" s="20"/>
      <c r="CF71" s="20"/>
      <c r="CG71" s="20"/>
      <c r="CH71" s="20"/>
      <c r="CI71" s="20"/>
      <c r="CJ71" s="20"/>
      <c r="CK71" s="20"/>
      <c r="CL71" s="20"/>
      <c r="CN71" s="20"/>
      <c r="CO71" s="20"/>
      <c r="CP71" s="20"/>
      <c r="CQ71" s="20"/>
      <c r="CR71" s="20"/>
      <c r="CS71" s="20"/>
      <c r="CT71" s="20"/>
      <c r="CU71" s="20"/>
      <c r="CV71" s="20"/>
      <c r="CW71" s="20"/>
    </row>
    <row r="72" spans="2:101">
      <c r="B72" s="19"/>
      <c r="C72" s="20"/>
      <c r="D72" s="20"/>
      <c r="E72" s="20"/>
      <c r="F72" s="20"/>
      <c r="G72" s="20"/>
      <c r="H72" s="20"/>
      <c r="I72" s="20"/>
      <c r="J72" s="20"/>
      <c r="K72" s="20"/>
      <c r="L72" s="20"/>
      <c r="M72" s="20"/>
      <c r="BG72" s="20"/>
      <c r="BH72" s="20"/>
      <c r="BI72" s="20"/>
      <c r="BJ72" s="20"/>
      <c r="BK72" s="20"/>
      <c r="BL72" s="20"/>
      <c r="BM72" s="20"/>
      <c r="BN72" s="20"/>
      <c r="BO72" s="20"/>
      <c r="BP72" s="20"/>
      <c r="BR72" s="20"/>
      <c r="BS72" s="20"/>
      <c r="BT72" s="20"/>
      <c r="BU72" s="20"/>
      <c r="BV72" s="20"/>
      <c r="BW72" s="20"/>
      <c r="BX72" s="20"/>
      <c r="BY72" s="20"/>
      <c r="BZ72" s="20"/>
      <c r="CA72" s="20"/>
      <c r="CC72" s="20"/>
      <c r="CD72" s="20"/>
      <c r="CE72" s="20"/>
      <c r="CF72" s="20"/>
      <c r="CG72" s="20"/>
      <c r="CH72" s="20"/>
      <c r="CI72" s="20"/>
      <c r="CJ72" s="20"/>
      <c r="CK72" s="20"/>
      <c r="CL72" s="20"/>
      <c r="CN72" s="20"/>
      <c r="CO72" s="20"/>
      <c r="CP72" s="20"/>
      <c r="CQ72" s="20"/>
      <c r="CR72" s="20"/>
      <c r="CS72" s="20"/>
      <c r="CT72" s="20"/>
      <c r="CU72" s="20"/>
      <c r="CV72" s="20"/>
      <c r="CW72" s="20"/>
    </row>
    <row r="73" spans="2:101">
      <c r="B73" s="488" t="s">
        <v>629</v>
      </c>
      <c r="C73" s="489">
        <f>SUM(C64:C72)</f>
        <v>0</v>
      </c>
      <c r="D73" s="489">
        <f t="shared" ref="D73:M73" si="248">SUM(D64:D72)</f>
        <v>0</v>
      </c>
      <c r="E73" s="489">
        <f t="shared" si="248"/>
        <v>7108.0048933417347</v>
      </c>
      <c r="F73" s="489">
        <f t="shared" si="248"/>
        <v>8163.9066665552364</v>
      </c>
      <c r="G73" s="489">
        <f t="shared" si="248"/>
        <v>10127.293244194294</v>
      </c>
      <c r="H73" s="489">
        <f t="shared" si="248"/>
        <v>11760.003915934038</v>
      </c>
      <c r="I73" s="489">
        <f t="shared" si="248"/>
        <v>10783.202084898961</v>
      </c>
      <c r="J73" s="489">
        <f t="shared" si="248"/>
        <v>12698.185825816099</v>
      </c>
      <c r="K73" s="489">
        <f t="shared" si="248"/>
        <v>12822.001923745785</v>
      </c>
      <c r="L73" s="489">
        <f t="shared" si="248"/>
        <v>12911.23575618018</v>
      </c>
      <c r="M73" s="489">
        <f t="shared" si="248"/>
        <v>13298.572828865586</v>
      </c>
      <c r="BG73" s="489"/>
      <c r="BH73" s="489"/>
      <c r="BI73" s="489"/>
      <c r="BJ73" s="489"/>
      <c r="BK73" s="489"/>
      <c r="BL73" s="489"/>
      <c r="BM73" s="489"/>
      <c r="BN73" s="489"/>
      <c r="BO73" s="489"/>
      <c r="BP73" s="489"/>
      <c r="BR73" s="489"/>
      <c r="BS73" s="489"/>
      <c r="BT73" s="489"/>
      <c r="BU73" s="489"/>
      <c r="BV73" s="489"/>
      <c r="BW73" s="489"/>
      <c r="BX73" s="489"/>
      <c r="BY73" s="489"/>
      <c r="BZ73" s="489"/>
      <c r="CA73" s="489"/>
      <c r="CC73" s="489"/>
      <c r="CD73" s="489"/>
      <c r="CE73" s="489"/>
      <c r="CF73" s="489"/>
      <c r="CG73" s="489"/>
      <c r="CH73" s="489"/>
      <c r="CI73" s="489"/>
      <c r="CJ73" s="489"/>
      <c r="CK73" s="489"/>
      <c r="CL73" s="489"/>
      <c r="CN73" s="489"/>
      <c r="CO73" s="489"/>
      <c r="CP73" s="489"/>
      <c r="CQ73" s="489"/>
      <c r="CR73" s="489"/>
      <c r="CS73" s="489"/>
      <c r="CT73" s="489"/>
      <c r="CU73" s="489"/>
      <c r="CV73" s="489"/>
      <c r="CW73" s="489"/>
    </row>
    <row r="75" spans="2:101">
      <c r="C75" s="133">
        <f>C52+C73</f>
        <v>0</v>
      </c>
      <c r="D75" s="133">
        <f t="shared" ref="D75:M75" si="249">D52+D73</f>
        <v>0</v>
      </c>
      <c r="E75" s="133">
        <f t="shared" si="249"/>
        <v>48245.716228958176</v>
      </c>
      <c r="F75" s="133">
        <f t="shared" si="249"/>
        <v>61577.826485582511</v>
      </c>
      <c r="G75" s="133">
        <f t="shared" si="249"/>
        <v>62065.058213803175</v>
      </c>
      <c r="H75" s="133">
        <f t="shared" si="249"/>
        <v>74790.725282198982</v>
      </c>
      <c r="I75" s="133">
        <f t="shared" si="249"/>
        <v>56580.876863985352</v>
      </c>
      <c r="J75" s="133">
        <f t="shared" si="249"/>
        <v>59778.66347500425</v>
      </c>
      <c r="K75" s="133">
        <f t="shared" si="249"/>
        <v>59639.663556645013</v>
      </c>
      <c r="L75" s="133">
        <f t="shared" si="249"/>
        <v>59338.092519668309</v>
      </c>
      <c r="M75" s="133">
        <f t="shared" si="249"/>
        <v>59396.463728852599</v>
      </c>
    </row>
    <row r="78" spans="2:101">
      <c r="B78" s="100" t="s">
        <v>674</v>
      </c>
      <c r="D78" s="8">
        <v>2027</v>
      </c>
    </row>
    <row r="79" spans="2:101" ht="15">
      <c r="B79" s="100" t="s">
        <v>682</v>
      </c>
      <c r="D79" s="560">
        <v>0.5</v>
      </c>
    </row>
  </sheetData>
  <pageMargins left="0.7" right="0.7" top="0.75" bottom="0.75" header="0.3" footer="0.3"/>
  <pageSetup scale="50"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6ED45-BD1B-41FE-9264-FEC0146C338E}">
  <sheetPr>
    <tabColor theme="6"/>
    <pageSetUpPr fitToPage="1"/>
  </sheetPr>
  <dimension ref="A1:Q51"/>
  <sheetViews>
    <sheetView workbookViewId="0"/>
  </sheetViews>
  <sheetFormatPr defaultColWidth="0" defaultRowHeight="13.5" zeroHeight="1" outlineLevelRow="1"/>
  <cols>
    <col min="1" max="1" width="1.5546875" style="8" customWidth="1"/>
    <col min="2" max="2" width="20.44140625" style="8" bestFit="1" customWidth="1"/>
    <col min="3" max="3" width="10.44140625" style="8" hidden="1" customWidth="1"/>
    <col min="4" max="5" width="11" style="8" bestFit="1" customWidth="1"/>
    <col min="6" max="6" width="11.44140625" style="8" bestFit="1" customWidth="1"/>
    <col min="7" max="10" width="10.5546875" style="8" bestFit="1" customWidth="1"/>
    <col min="11" max="11" width="11.109375" style="8" bestFit="1" customWidth="1"/>
    <col min="12" max="12" width="10.5546875" style="8" bestFit="1" customWidth="1"/>
    <col min="13" max="13" width="1.44140625" style="8" customWidth="1"/>
    <col min="14" max="17" width="0" style="8" hidden="1" customWidth="1"/>
    <col min="18" max="16384" width="8.5546875" style="8" hidden="1"/>
  </cols>
  <sheetData>
    <row r="1" spans="1:16" ht="70.5" customHeight="1">
      <c r="A1" s="452"/>
      <c r="B1" s="10" t="s">
        <v>73</v>
      </c>
      <c r="C1" s="11"/>
      <c r="D1" s="11"/>
      <c r="E1" s="11"/>
      <c r="F1" s="11"/>
      <c r="G1" s="11"/>
      <c r="H1" s="11"/>
      <c r="I1" s="11"/>
      <c r="J1" s="11"/>
      <c r="K1" s="11"/>
      <c r="L1" s="11"/>
      <c r="M1" s="11"/>
      <c r="N1" s="11"/>
      <c r="O1" s="11"/>
      <c r="P1" s="11"/>
    </row>
    <row r="2" spans="1:16">
      <c r="E2" s="8">
        <f>E44/E38</f>
        <v>0.14338868547264189</v>
      </c>
    </row>
    <row r="3" spans="1:16">
      <c r="B3" s="12" t="s">
        <v>64</v>
      </c>
      <c r="C3" s="13">
        <v>2022</v>
      </c>
      <c r="D3" s="13">
        <f>C3+1</f>
        <v>2023</v>
      </c>
      <c r="E3" s="13">
        <f t="shared" ref="E3:L3" si="0">D3+1</f>
        <v>2024</v>
      </c>
      <c r="F3" s="13">
        <f t="shared" si="0"/>
        <v>2025</v>
      </c>
      <c r="G3" s="13">
        <f t="shared" si="0"/>
        <v>2026</v>
      </c>
      <c r="H3" s="13">
        <f t="shared" si="0"/>
        <v>2027</v>
      </c>
      <c r="I3" s="13">
        <f t="shared" si="0"/>
        <v>2028</v>
      </c>
      <c r="J3" s="13">
        <f t="shared" si="0"/>
        <v>2029</v>
      </c>
      <c r="K3" s="13">
        <f t="shared" si="0"/>
        <v>2030</v>
      </c>
      <c r="L3" s="13">
        <f t="shared" si="0"/>
        <v>2031</v>
      </c>
    </row>
    <row r="4" spans="1:16" ht="3.75" customHeight="1">
      <c r="B4" s="100"/>
    </row>
    <row r="5" spans="1:16" hidden="1" outlineLevel="1">
      <c r="B5" s="108" t="s">
        <v>120</v>
      </c>
      <c r="C5" s="109"/>
      <c r="D5" s="109"/>
      <c r="E5" s="109"/>
      <c r="F5" s="109"/>
      <c r="G5" s="109"/>
      <c r="H5" s="109"/>
      <c r="I5" s="109"/>
      <c r="J5" s="109"/>
      <c r="K5" s="109"/>
      <c r="L5" s="109"/>
    </row>
    <row r="6" spans="1:16" hidden="1" outlineLevel="1">
      <c r="B6" s="19" t="s">
        <v>121</v>
      </c>
      <c r="C6" s="152">
        <f>'TUC High Level Sales Plan'!BM8</f>
        <v>0</v>
      </c>
      <c r="D6" s="152">
        <f>'TUC High Level Sales Plan'!BN8</f>
        <v>0</v>
      </c>
      <c r="E6" s="152">
        <f>'TUC High Level Sales Plan'!BO8</f>
        <v>0</v>
      </c>
      <c r="F6" s="152">
        <f>'TUC High Level Sales Plan'!BP8</f>
        <v>0</v>
      </c>
      <c r="G6" s="152">
        <f>'TUC High Level Sales Plan'!BQ8</f>
        <v>0</v>
      </c>
      <c r="H6" s="152">
        <f>'TUC High Level Sales Plan'!BR8</f>
        <v>0</v>
      </c>
      <c r="I6" s="152">
        <f>'TUC High Level Sales Plan'!BS8</f>
        <v>0</v>
      </c>
      <c r="J6" s="152">
        <f>'TUC High Level Sales Plan'!BT8</f>
        <v>0</v>
      </c>
      <c r="K6" s="152">
        <f>'TUC High Level Sales Plan'!BU8</f>
        <v>0</v>
      </c>
      <c r="L6" s="152">
        <f>'TUC High Level Sales Plan'!BV8</f>
        <v>0</v>
      </c>
    </row>
    <row r="7" spans="1:16" hidden="1" outlineLevel="1">
      <c r="B7" s="19" t="s">
        <v>121</v>
      </c>
      <c r="C7" s="152">
        <f>'TUC High Level Sales Plan'!BM9</f>
        <v>0</v>
      </c>
      <c r="D7" s="152">
        <f>'TUC High Level Sales Plan'!BN9</f>
        <v>0</v>
      </c>
      <c r="E7" s="152">
        <f>'TUC High Level Sales Plan'!BO9</f>
        <v>0</v>
      </c>
      <c r="F7" s="152">
        <f>'TUC High Level Sales Plan'!BP9</f>
        <v>0</v>
      </c>
      <c r="G7" s="152">
        <f>'TUC High Level Sales Plan'!BQ9</f>
        <v>0</v>
      </c>
      <c r="H7" s="152">
        <f>'TUC High Level Sales Plan'!BR9</f>
        <v>0</v>
      </c>
      <c r="I7" s="152">
        <f>'TUC High Level Sales Plan'!BS9</f>
        <v>0</v>
      </c>
      <c r="J7" s="152">
        <f>'TUC High Level Sales Plan'!BT9</f>
        <v>0</v>
      </c>
      <c r="K7" s="152">
        <f>'TUC High Level Sales Plan'!BU9</f>
        <v>0</v>
      </c>
      <c r="L7" s="152">
        <f>'TUC High Level Sales Plan'!BV9</f>
        <v>0</v>
      </c>
    </row>
    <row r="8" spans="1:16" hidden="1" outlineLevel="1">
      <c r="B8" s="19" t="s">
        <v>121</v>
      </c>
      <c r="C8" s="152">
        <f>'TUC High Level Sales Plan'!BM10</f>
        <v>0</v>
      </c>
      <c r="D8" s="152">
        <f>'TUC High Level Sales Plan'!BN10</f>
        <v>5.9354821614638134</v>
      </c>
      <c r="E8" s="152">
        <f>'TUC High Level Sales Plan'!BO10</f>
        <v>0</v>
      </c>
      <c r="F8" s="152">
        <f>'TUC High Level Sales Plan'!BP10</f>
        <v>0</v>
      </c>
      <c r="G8" s="152">
        <f>'TUC High Level Sales Plan'!BQ10</f>
        <v>0</v>
      </c>
      <c r="H8" s="152">
        <f>'TUC High Level Sales Plan'!BR10</f>
        <v>0</v>
      </c>
      <c r="I8" s="152">
        <f>'TUC High Level Sales Plan'!BS10</f>
        <v>0</v>
      </c>
      <c r="J8" s="152">
        <f>'TUC High Level Sales Plan'!BT10</f>
        <v>0</v>
      </c>
      <c r="K8" s="152">
        <f>'TUC High Level Sales Plan'!BU10</f>
        <v>0</v>
      </c>
      <c r="L8" s="152">
        <f>'TUC High Level Sales Plan'!BV10</f>
        <v>0</v>
      </c>
    </row>
    <row r="9" spans="1:16" hidden="1" outlineLevel="1">
      <c r="B9" s="19" t="s">
        <v>123</v>
      </c>
      <c r="C9" s="152">
        <f>'TUC High Level Sales Plan'!BM11</f>
        <v>0</v>
      </c>
      <c r="D9" s="152">
        <f>'TUC High Level Sales Plan'!BN11</f>
        <v>0</v>
      </c>
      <c r="E9" s="152">
        <f>'TUC High Level Sales Plan'!BO11</f>
        <v>0</v>
      </c>
      <c r="F9" s="152">
        <f>'TUC High Level Sales Plan'!BP11</f>
        <v>0</v>
      </c>
      <c r="G9" s="152">
        <f>'TUC High Level Sales Plan'!BQ11</f>
        <v>0</v>
      </c>
      <c r="H9" s="152">
        <f>'TUC High Level Sales Plan'!BR11</f>
        <v>0</v>
      </c>
      <c r="I9" s="152">
        <f>'TUC High Level Sales Plan'!BS11</f>
        <v>0</v>
      </c>
      <c r="J9" s="152">
        <f>'TUC High Level Sales Plan'!BT11</f>
        <v>0</v>
      </c>
      <c r="K9" s="152">
        <f>'TUC High Level Sales Plan'!BU11</f>
        <v>0</v>
      </c>
      <c r="L9" s="152">
        <f>'TUC High Level Sales Plan'!BV11</f>
        <v>0</v>
      </c>
    </row>
    <row r="10" spans="1:16" hidden="1" outlineLevel="1">
      <c r="B10" s="19" t="s">
        <v>124</v>
      </c>
      <c r="C10" s="152">
        <f>'TUC High Level Sales Plan'!BM12</f>
        <v>0</v>
      </c>
      <c r="D10" s="152">
        <f>'TUC High Level Sales Plan'!BN12</f>
        <v>0</v>
      </c>
      <c r="E10" s="152">
        <f>'TUC High Level Sales Plan'!BO12</f>
        <v>0</v>
      </c>
      <c r="F10" s="152">
        <f>'TUC High Level Sales Plan'!BP12</f>
        <v>0</v>
      </c>
      <c r="G10" s="152">
        <f>'TUC High Level Sales Plan'!BQ12</f>
        <v>0</v>
      </c>
      <c r="H10" s="152">
        <f>'TUC High Level Sales Plan'!BR12</f>
        <v>0</v>
      </c>
      <c r="I10" s="152">
        <f>'TUC High Level Sales Plan'!BS12</f>
        <v>0</v>
      </c>
      <c r="J10" s="152">
        <f>'TUC High Level Sales Plan'!BT12</f>
        <v>0</v>
      </c>
      <c r="K10" s="152">
        <f>'TUC High Level Sales Plan'!BU12</f>
        <v>0</v>
      </c>
      <c r="L10" s="152">
        <f>'TUC High Level Sales Plan'!BV12</f>
        <v>0</v>
      </c>
    </row>
    <row r="11" spans="1:16" hidden="1" outlineLevel="1">
      <c r="B11" s="19" t="s">
        <v>125</v>
      </c>
      <c r="C11" s="152">
        <f>'TUC High Level Sales Plan'!BM13</f>
        <v>0</v>
      </c>
      <c r="D11" s="152">
        <f>'TUC High Level Sales Plan'!BN13</f>
        <v>230.85714285714289</v>
      </c>
      <c r="E11" s="152">
        <f>'TUC High Level Sales Plan'!BO13</f>
        <v>0</v>
      </c>
      <c r="F11" s="152">
        <f>'TUC High Level Sales Plan'!BP13</f>
        <v>0</v>
      </c>
      <c r="G11" s="152">
        <f>'TUC High Level Sales Plan'!BQ13</f>
        <v>0</v>
      </c>
      <c r="H11" s="152">
        <f>'TUC High Level Sales Plan'!BR13</f>
        <v>0</v>
      </c>
      <c r="I11" s="152">
        <f>'TUC High Level Sales Plan'!BS13</f>
        <v>0</v>
      </c>
      <c r="J11" s="152">
        <f>'TUC High Level Sales Plan'!BT13</f>
        <v>0</v>
      </c>
      <c r="K11" s="152">
        <f>'TUC High Level Sales Plan'!BU13</f>
        <v>0</v>
      </c>
      <c r="L11" s="152">
        <f>'TUC High Level Sales Plan'!BV13</f>
        <v>0</v>
      </c>
    </row>
    <row r="12" spans="1:16" hidden="1" outlineLevel="1">
      <c r="B12" s="19" t="s">
        <v>126</v>
      </c>
      <c r="C12" s="152">
        <f>'TUC High Level Sales Plan'!BM14</f>
        <v>0</v>
      </c>
      <c r="D12" s="152">
        <f>'TUC High Level Sales Plan'!BN14</f>
        <v>0</v>
      </c>
      <c r="E12" s="152">
        <f>'TUC High Level Sales Plan'!BO14</f>
        <v>0</v>
      </c>
      <c r="F12" s="152">
        <f>'TUC High Level Sales Plan'!BP14</f>
        <v>0</v>
      </c>
      <c r="G12" s="152">
        <f>'TUC High Level Sales Plan'!BQ14</f>
        <v>0</v>
      </c>
      <c r="H12" s="152">
        <f>'TUC High Level Sales Plan'!BR14</f>
        <v>0</v>
      </c>
      <c r="I12" s="152">
        <f>'TUC High Level Sales Plan'!BS14</f>
        <v>0</v>
      </c>
      <c r="J12" s="152">
        <f>'TUC High Level Sales Plan'!BT14</f>
        <v>0</v>
      </c>
      <c r="K12" s="152">
        <f>'TUC High Level Sales Plan'!BU14</f>
        <v>0</v>
      </c>
      <c r="L12" s="152">
        <f>'TUC High Level Sales Plan'!BV14</f>
        <v>0</v>
      </c>
    </row>
    <row r="13" spans="1:16" hidden="1" outlineLevel="1">
      <c r="B13" s="19" t="s">
        <v>127</v>
      </c>
      <c r="C13" s="152">
        <f>'TUC High Level Sales Plan'!BM15</f>
        <v>0</v>
      </c>
      <c r="D13" s="152">
        <f>'TUC High Level Sales Plan'!BN15</f>
        <v>0</v>
      </c>
      <c r="E13" s="152">
        <f>'TUC High Level Sales Plan'!BO15</f>
        <v>0</v>
      </c>
      <c r="F13" s="152">
        <f>'TUC High Level Sales Plan'!BP15</f>
        <v>0</v>
      </c>
      <c r="G13" s="152">
        <f>'TUC High Level Sales Plan'!BQ15</f>
        <v>0</v>
      </c>
      <c r="H13" s="152">
        <f>'TUC High Level Sales Plan'!BR15</f>
        <v>0</v>
      </c>
      <c r="I13" s="152">
        <f>'TUC High Level Sales Plan'!BS15</f>
        <v>0</v>
      </c>
      <c r="J13" s="152">
        <f>'TUC High Level Sales Plan'!BT15</f>
        <v>0</v>
      </c>
      <c r="K13" s="152">
        <f>'TUC High Level Sales Plan'!BU15</f>
        <v>0</v>
      </c>
      <c r="L13" s="152">
        <f>'TUC High Level Sales Plan'!BV15</f>
        <v>0</v>
      </c>
    </row>
    <row r="14" spans="1:16" hidden="1" outlineLevel="1">
      <c r="B14" s="19" t="s">
        <v>128</v>
      </c>
      <c r="C14" s="152">
        <f>'TUC High Level Sales Plan'!BM16</f>
        <v>0</v>
      </c>
      <c r="D14" s="152">
        <f>'TUC High Level Sales Plan'!BN16</f>
        <v>0</v>
      </c>
      <c r="E14" s="152">
        <f>'TUC High Level Sales Plan'!BO16</f>
        <v>0</v>
      </c>
      <c r="F14" s="152">
        <f>'TUC High Level Sales Plan'!BP16</f>
        <v>0</v>
      </c>
      <c r="G14" s="152">
        <f>'TUC High Level Sales Plan'!BQ16</f>
        <v>0</v>
      </c>
      <c r="H14" s="152">
        <f>'TUC High Level Sales Plan'!BR16</f>
        <v>0</v>
      </c>
      <c r="I14" s="152">
        <f>'TUC High Level Sales Plan'!BS16</f>
        <v>0</v>
      </c>
      <c r="J14" s="152">
        <f>'TUC High Level Sales Plan'!BT16</f>
        <v>0</v>
      </c>
      <c r="K14" s="152">
        <f>'TUC High Level Sales Plan'!BU16</f>
        <v>0</v>
      </c>
      <c r="L14" s="152">
        <f>'TUC High Level Sales Plan'!BV16</f>
        <v>0</v>
      </c>
    </row>
    <row r="15" spans="1:16" hidden="1" outlineLevel="1">
      <c r="B15" s="19" t="s">
        <v>129</v>
      </c>
      <c r="C15" s="152">
        <f>'TUC High Level Sales Plan'!BM17</f>
        <v>0</v>
      </c>
      <c r="D15" s="152">
        <f>'TUC High Level Sales Plan'!BN17</f>
        <v>0</v>
      </c>
      <c r="E15" s="152">
        <f>'TUC High Level Sales Plan'!BO17</f>
        <v>0</v>
      </c>
      <c r="F15" s="152">
        <f>'TUC High Level Sales Plan'!BP17</f>
        <v>0</v>
      </c>
      <c r="G15" s="152">
        <f>'TUC High Level Sales Plan'!BQ17</f>
        <v>0</v>
      </c>
      <c r="H15" s="152">
        <f>'TUC High Level Sales Plan'!BR17</f>
        <v>0</v>
      </c>
      <c r="I15" s="152">
        <f>'TUC High Level Sales Plan'!BS17</f>
        <v>0</v>
      </c>
      <c r="J15" s="152">
        <f>'TUC High Level Sales Plan'!BT17</f>
        <v>0</v>
      </c>
      <c r="K15" s="152">
        <f>'TUC High Level Sales Plan'!BU17</f>
        <v>0</v>
      </c>
      <c r="L15" s="152">
        <f>'TUC High Level Sales Plan'!BV17</f>
        <v>0</v>
      </c>
    </row>
    <row r="16" spans="1:16" hidden="1" outlineLevel="1">
      <c r="B16" s="19" t="s">
        <v>130</v>
      </c>
      <c r="C16" s="152">
        <f>'TUC High Level Sales Plan'!BM18</f>
        <v>0</v>
      </c>
      <c r="D16" s="152">
        <f>'TUC High Level Sales Plan'!BN18</f>
        <v>2925.8240015683282</v>
      </c>
      <c r="E16" s="152">
        <f>'TUC High Level Sales Plan'!BO18</f>
        <v>975</v>
      </c>
      <c r="F16" s="152">
        <f>'TUC High Level Sales Plan'!BP18</f>
        <v>292.5</v>
      </c>
      <c r="G16" s="152">
        <f>'TUC High Level Sales Plan'!BQ18</f>
        <v>0</v>
      </c>
      <c r="H16" s="152">
        <f>'TUC High Level Sales Plan'!BR18</f>
        <v>0</v>
      </c>
      <c r="I16" s="152">
        <f>'TUC High Level Sales Plan'!BS18</f>
        <v>0</v>
      </c>
      <c r="J16" s="152">
        <f>'TUC High Level Sales Plan'!BT18</f>
        <v>0</v>
      </c>
      <c r="K16" s="152">
        <f>'TUC High Level Sales Plan'!BU18</f>
        <v>0</v>
      </c>
      <c r="L16" s="152">
        <f>'TUC High Level Sales Plan'!BV18</f>
        <v>0</v>
      </c>
    </row>
    <row r="17" spans="2:13" hidden="1" outlineLevel="1">
      <c r="B17" s="19" t="s">
        <v>438</v>
      </c>
      <c r="C17" s="152">
        <f>'TUC High Level Sales Plan'!BM19</f>
        <v>0</v>
      </c>
      <c r="D17" s="152">
        <f>'TUC High Level Sales Plan'!BN19</f>
        <v>813.00813008130081</v>
      </c>
      <c r="E17" s="152">
        <f>'TUC High Level Sales Plan'!BO19</f>
        <v>0</v>
      </c>
      <c r="F17" s="152">
        <f>'TUC High Level Sales Plan'!BP19</f>
        <v>0</v>
      </c>
      <c r="G17" s="152">
        <f>'TUC High Level Sales Plan'!BQ19</f>
        <v>0</v>
      </c>
      <c r="H17" s="152">
        <f>'TUC High Level Sales Plan'!BR19</f>
        <v>0</v>
      </c>
      <c r="I17" s="152">
        <f>'TUC High Level Sales Plan'!BS19</f>
        <v>0</v>
      </c>
      <c r="J17" s="152">
        <f>'TUC High Level Sales Plan'!BT19</f>
        <v>0</v>
      </c>
      <c r="K17" s="152">
        <f>'TUC High Level Sales Plan'!BU19</f>
        <v>0</v>
      </c>
      <c r="L17" s="152">
        <f>'TUC High Level Sales Plan'!BV19</f>
        <v>0</v>
      </c>
    </row>
    <row r="18" spans="2:13" hidden="1" outlineLevel="1">
      <c r="B18" s="19" t="s">
        <v>131</v>
      </c>
      <c r="C18" s="152">
        <f>'TUC High Level Sales Plan'!BM20</f>
        <v>0</v>
      </c>
      <c r="D18" s="152">
        <f>'TUC High Level Sales Plan'!BN20</f>
        <v>0</v>
      </c>
      <c r="E18" s="152">
        <f>'TUC High Level Sales Plan'!BO20</f>
        <v>0</v>
      </c>
      <c r="F18" s="152">
        <f>'TUC High Level Sales Plan'!BP20</f>
        <v>0</v>
      </c>
      <c r="G18" s="152">
        <f>'TUC High Level Sales Plan'!BQ20</f>
        <v>0</v>
      </c>
      <c r="H18" s="152">
        <f>'TUC High Level Sales Plan'!BR20</f>
        <v>0</v>
      </c>
      <c r="I18" s="152">
        <f>'TUC High Level Sales Plan'!BS20</f>
        <v>0</v>
      </c>
      <c r="J18" s="152">
        <f>'TUC High Level Sales Plan'!BT20</f>
        <v>0</v>
      </c>
      <c r="K18" s="152">
        <f>'TUC High Level Sales Plan'!BU20</f>
        <v>0</v>
      </c>
      <c r="L18" s="152">
        <f>'TUC High Level Sales Plan'!BV20</f>
        <v>0</v>
      </c>
    </row>
    <row r="19" spans="2:13" hidden="1" outlineLevel="1">
      <c r="B19" s="19" t="s">
        <v>121</v>
      </c>
      <c r="C19" s="152">
        <f>'TUC High Level Sales Plan'!BM21</f>
        <v>0</v>
      </c>
      <c r="D19" s="152">
        <f>'TUC High Level Sales Plan'!BN21</f>
        <v>0</v>
      </c>
      <c r="E19" s="152">
        <f>'TUC High Level Sales Plan'!BO21</f>
        <v>0</v>
      </c>
      <c r="F19" s="152">
        <f>'TUC High Level Sales Plan'!BP21</f>
        <v>0</v>
      </c>
      <c r="G19" s="152">
        <f>'TUC High Level Sales Plan'!BQ21</f>
        <v>0</v>
      </c>
      <c r="H19" s="152">
        <f>'TUC High Level Sales Plan'!BR21</f>
        <v>0</v>
      </c>
      <c r="I19" s="152">
        <f>'TUC High Level Sales Plan'!BS21</f>
        <v>0</v>
      </c>
      <c r="J19" s="152">
        <f>'TUC High Level Sales Plan'!BT21</f>
        <v>0</v>
      </c>
      <c r="K19" s="152">
        <f>'TUC High Level Sales Plan'!BU21</f>
        <v>0</v>
      </c>
      <c r="L19" s="152">
        <f>'TUC High Level Sales Plan'!BV21</f>
        <v>0</v>
      </c>
    </row>
    <row r="20" spans="2:13" hidden="1" outlineLevel="1">
      <c r="B20" s="19" t="s">
        <v>121</v>
      </c>
      <c r="C20" s="152">
        <f>'TUC High Level Sales Plan'!BM22</f>
        <v>0</v>
      </c>
      <c r="D20" s="152">
        <f>'TUC High Level Sales Plan'!BN22</f>
        <v>0</v>
      </c>
      <c r="E20" s="152">
        <f>'TUC High Level Sales Plan'!BO22</f>
        <v>0</v>
      </c>
      <c r="F20" s="152">
        <f>'TUC High Level Sales Plan'!BP22</f>
        <v>0</v>
      </c>
      <c r="G20" s="152">
        <f>'TUC High Level Sales Plan'!BQ22</f>
        <v>0</v>
      </c>
      <c r="H20" s="152">
        <f>'TUC High Level Sales Plan'!BR22</f>
        <v>0</v>
      </c>
      <c r="I20" s="152">
        <f>'TUC High Level Sales Plan'!BS22</f>
        <v>0</v>
      </c>
      <c r="J20" s="152">
        <f>'TUC High Level Sales Plan'!BT22</f>
        <v>0</v>
      </c>
      <c r="K20" s="152">
        <f>'TUC High Level Sales Plan'!BU22</f>
        <v>0</v>
      </c>
      <c r="L20" s="152">
        <f>'TUC High Level Sales Plan'!BV22</f>
        <v>0</v>
      </c>
    </row>
    <row r="21" spans="2:13" ht="3.75" hidden="1" customHeight="1" outlineLevel="1">
      <c r="C21" s="14"/>
      <c r="D21" s="14"/>
      <c r="E21" s="14"/>
      <c r="F21" s="14"/>
      <c r="G21" s="14"/>
      <c r="H21" s="14"/>
      <c r="I21" s="14"/>
      <c r="J21" s="14"/>
      <c r="K21" s="14"/>
      <c r="L21" s="14"/>
    </row>
    <row r="22" spans="2:13" s="15" customFormat="1" ht="15.75" customHeight="1" collapsed="1">
      <c r="B22" s="28" t="s">
        <v>66</v>
      </c>
      <c r="C22" s="29"/>
      <c r="D22" s="29"/>
      <c r="E22" s="29"/>
      <c r="F22" s="29"/>
      <c r="G22" s="29"/>
      <c r="H22" s="29"/>
      <c r="I22" s="29"/>
      <c r="J22" s="29"/>
      <c r="K22" s="29"/>
      <c r="L22" s="29"/>
      <c r="M22" s="8"/>
    </row>
    <row r="23" spans="2:13" hidden="1" outlineLevel="1">
      <c r="B23" s="19" t="str">
        <f>B6</f>
        <v>Ice Cream</v>
      </c>
      <c r="C23" s="22">
        <f>'TUC High Level Sales Plan'!EA8</f>
        <v>0</v>
      </c>
      <c r="D23" s="22">
        <f>'TUC High Level Sales Plan'!EB8</f>
        <v>0</v>
      </c>
      <c r="E23" s="20">
        <f>'TUC High Level Sales Plan'!EC8</f>
        <v>0</v>
      </c>
      <c r="F23" s="20">
        <f>'TUC High Level Sales Plan'!ED8</f>
        <v>0</v>
      </c>
      <c r="G23" s="20">
        <f>'TUC High Level Sales Plan'!EE8</f>
        <v>0</v>
      </c>
      <c r="H23" s="20">
        <f>'TUC High Level Sales Plan'!EF8</f>
        <v>0</v>
      </c>
      <c r="I23" s="20">
        <f>'TUC High Level Sales Plan'!EG8</f>
        <v>0</v>
      </c>
      <c r="J23" s="20">
        <f>'TUC High Level Sales Plan'!EH8</f>
        <v>0</v>
      </c>
      <c r="K23" s="20">
        <f>'TUC High Level Sales Plan'!EI8</f>
        <v>0</v>
      </c>
      <c r="L23" s="20">
        <f>'TUC High Level Sales Plan'!EJ8</f>
        <v>0</v>
      </c>
    </row>
    <row r="24" spans="2:13" hidden="1" outlineLevel="1">
      <c r="B24" s="19" t="str">
        <f t="shared" ref="B24:B37" si="1">B7</f>
        <v>Ice Cream</v>
      </c>
      <c r="C24" s="22">
        <f>'TUC High Level Sales Plan'!EA9</f>
        <v>0</v>
      </c>
      <c r="D24" s="22">
        <f>'TUC High Level Sales Plan'!EB9</f>
        <v>0</v>
      </c>
      <c r="E24" s="20">
        <f>'TUC High Level Sales Plan'!EC9</f>
        <v>0</v>
      </c>
      <c r="F24" s="20">
        <f>'TUC High Level Sales Plan'!ED9</f>
        <v>0</v>
      </c>
      <c r="G24" s="20">
        <f>'TUC High Level Sales Plan'!EE9</f>
        <v>0</v>
      </c>
      <c r="H24" s="20">
        <f>'TUC High Level Sales Plan'!EF9</f>
        <v>0</v>
      </c>
      <c r="I24" s="20">
        <f>'TUC High Level Sales Plan'!EG9</f>
        <v>0</v>
      </c>
      <c r="J24" s="20">
        <f>'TUC High Level Sales Plan'!EH9</f>
        <v>0</v>
      </c>
      <c r="K24" s="20">
        <f>'TUC High Level Sales Plan'!EI9</f>
        <v>0</v>
      </c>
      <c r="L24" s="20">
        <f>'TUC High Level Sales Plan'!EJ9</f>
        <v>0</v>
      </c>
    </row>
    <row r="25" spans="2:13" hidden="1" outlineLevel="1">
      <c r="B25" s="19" t="str">
        <f t="shared" si="1"/>
        <v>Ice Cream</v>
      </c>
      <c r="C25" s="22">
        <f>'TUC High Level Sales Plan'!EA10</f>
        <v>0</v>
      </c>
      <c r="D25" s="22">
        <f>'TUC High Level Sales Plan'!EB10</f>
        <v>118.14302612436381</v>
      </c>
      <c r="E25" s="20">
        <f>'TUC High Level Sales Plan'!EC10</f>
        <v>0</v>
      </c>
      <c r="F25" s="20">
        <f>'TUC High Level Sales Plan'!ED10</f>
        <v>0</v>
      </c>
      <c r="G25" s="20">
        <f>'TUC High Level Sales Plan'!EE10</f>
        <v>0</v>
      </c>
      <c r="H25" s="20">
        <f>'TUC High Level Sales Plan'!EF10</f>
        <v>0</v>
      </c>
      <c r="I25" s="20">
        <f>'TUC High Level Sales Plan'!EG10</f>
        <v>0</v>
      </c>
      <c r="J25" s="20">
        <f>'TUC High Level Sales Plan'!EH10</f>
        <v>0</v>
      </c>
      <c r="K25" s="20">
        <f>'TUC High Level Sales Plan'!EI10</f>
        <v>0</v>
      </c>
      <c r="L25" s="20">
        <f>'TUC High Level Sales Plan'!EJ10</f>
        <v>0</v>
      </c>
    </row>
    <row r="26" spans="2:13" hidden="1" outlineLevel="1">
      <c r="B26" s="19" t="str">
        <f t="shared" si="1"/>
        <v>Ice Cream Bars</v>
      </c>
      <c r="C26" s="22">
        <f>'TUC High Level Sales Plan'!EA11</f>
        <v>0</v>
      </c>
      <c r="D26" s="22">
        <f>'TUC High Level Sales Plan'!EB11</f>
        <v>0</v>
      </c>
      <c r="E26" s="20">
        <f>'TUC High Level Sales Plan'!EC11</f>
        <v>0</v>
      </c>
      <c r="F26" s="20">
        <f>'TUC High Level Sales Plan'!ED11</f>
        <v>0</v>
      </c>
      <c r="G26" s="20">
        <f>'TUC High Level Sales Plan'!EE11</f>
        <v>0</v>
      </c>
      <c r="H26" s="20">
        <f>'TUC High Level Sales Plan'!EF11</f>
        <v>0</v>
      </c>
      <c r="I26" s="20">
        <f>'TUC High Level Sales Plan'!EG11</f>
        <v>0</v>
      </c>
      <c r="J26" s="20">
        <f>'TUC High Level Sales Plan'!EH11</f>
        <v>0</v>
      </c>
      <c r="K26" s="20">
        <f>'TUC High Level Sales Plan'!EI11</f>
        <v>0</v>
      </c>
      <c r="L26" s="20">
        <f>'TUC High Level Sales Plan'!EJ11</f>
        <v>0</v>
      </c>
    </row>
    <row r="27" spans="2:13" hidden="1" outlineLevel="1">
      <c r="B27" s="19" t="str">
        <f t="shared" si="1"/>
        <v>RTM - Club</v>
      </c>
      <c r="C27" s="22">
        <f>'TUC High Level Sales Plan'!EA12</f>
        <v>0</v>
      </c>
      <c r="D27" s="22">
        <f>'TUC High Level Sales Plan'!EB12</f>
        <v>0</v>
      </c>
      <c r="E27" s="20">
        <f>'TUC High Level Sales Plan'!EC12</f>
        <v>0</v>
      </c>
      <c r="F27" s="20">
        <f>'TUC High Level Sales Plan'!ED12</f>
        <v>0</v>
      </c>
      <c r="G27" s="20">
        <f>'TUC High Level Sales Plan'!EE12</f>
        <v>0</v>
      </c>
      <c r="H27" s="20">
        <f>'TUC High Level Sales Plan'!EF12</f>
        <v>0</v>
      </c>
      <c r="I27" s="20">
        <f>'TUC High Level Sales Plan'!EG12</f>
        <v>0</v>
      </c>
      <c r="J27" s="20">
        <f>'TUC High Level Sales Plan'!EH12</f>
        <v>0</v>
      </c>
      <c r="K27" s="20">
        <f>'TUC High Level Sales Plan'!EI12</f>
        <v>0</v>
      </c>
      <c r="L27" s="20">
        <f>'TUC High Level Sales Plan'!EJ12</f>
        <v>0</v>
      </c>
    </row>
    <row r="28" spans="2:13" hidden="1" outlineLevel="1">
      <c r="B28" s="19" t="str">
        <f t="shared" si="1"/>
        <v>RTM - Online</v>
      </c>
      <c r="C28" s="22">
        <f>'TUC High Level Sales Plan'!EA13</f>
        <v>0</v>
      </c>
      <c r="D28" s="22">
        <f>'TUC High Level Sales Plan'!EB13</f>
        <v>490.23062709033758</v>
      </c>
      <c r="E28" s="20">
        <f>'TUC High Level Sales Plan'!EC13</f>
        <v>0</v>
      </c>
      <c r="F28" s="20">
        <f>'TUC High Level Sales Plan'!ED13</f>
        <v>0</v>
      </c>
      <c r="G28" s="20">
        <f>'TUC High Level Sales Plan'!EE13</f>
        <v>0</v>
      </c>
      <c r="H28" s="20">
        <f>'TUC High Level Sales Plan'!EF13</f>
        <v>0</v>
      </c>
      <c r="I28" s="20">
        <f>'TUC High Level Sales Plan'!EG13</f>
        <v>0</v>
      </c>
      <c r="J28" s="20">
        <f>'TUC High Level Sales Plan'!EH13</f>
        <v>0</v>
      </c>
      <c r="K28" s="20">
        <f>'TUC High Level Sales Plan'!EI13</f>
        <v>0</v>
      </c>
      <c r="L28" s="20">
        <f>'TUC High Level Sales Plan'!EJ13</f>
        <v>0</v>
      </c>
    </row>
    <row r="29" spans="2:13" hidden="1" outlineLevel="1">
      <c r="B29" s="19" t="str">
        <f t="shared" si="1"/>
        <v>RTD - Club</v>
      </c>
      <c r="C29" s="20">
        <f>'TUC High Level Sales Plan'!EA14</f>
        <v>0</v>
      </c>
      <c r="D29" s="20">
        <f>'TUC High Level Sales Plan'!EB14</f>
        <v>0</v>
      </c>
      <c r="E29" s="20">
        <f>'TUC High Level Sales Plan'!EC14</f>
        <v>0</v>
      </c>
      <c r="F29" s="20">
        <f>'TUC High Level Sales Plan'!ED14</f>
        <v>0</v>
      </c>
      <c r="G29" s="20">
        <f>'TUC High Level Sales Plan'!EE14</f>
        <v>0</v>
      </c>
      <c r="H29" s="20">
        <f>'TUC High Level Sales Plan'!EF14</f>
        <v>0</v>
      </c>
      <c r="I29" s="20">
        <f>'TUC High Level Sales Plan'!EG14</f>
        <v>0</v>
      </c>
      <c r="J29" s="20">
        <f>'TUC High Level Sales Plan'!EH14</f>
        <v>0</v>
      </c>
      <c r="K29" s="20">
        <f>'TUC High Level Sales Plan'!EI14</f>
        <v>0</v>
      </c>
      <c r="L29" s="20">
        <f>'TUC High Level Sales Plan'!EJ14</f>
        <v>0</v>
      </c>
    </row>
    <row r="30" spans="2:13" hidden="1" outlineLevel="1">
      <c r="B30" s="19" t="str">
        <f t="shared" si="1"/>
        <v>RTD - Online</v>
      </c>
      <c r="C30" s="20">
        <f>'TUC High Level Sales Plan'!EA15</f>
        <v>0</v>
      </c>
      <c r="D30" s="20">
        <f>'TUC High Level Sales Plan'!EB15</f>
        <v>0</v>
      </c>
      <c r="E30" s="20">
        <f>'TUC High Level Sales Plan'!EC15</f>
        <v>0</v>
      </c>
      <c r="F30" s="20">
        <f>'TUC High Level Sales Plan'!ED15</f>
        <v>0</v>
      </c>
      <c r="G30" s="20">
        <f>'TUC High Level Sales Plan'!EE15</f>
        <v>0</v>
      </c>
      <c r="H30" s="20">
        <f>'TUC High Level Sales Plan'!EF15</f>
        <v>0</v>
      </c>
      <c r="I30" s="20">
        <f>'TUC High Level Sales Plan'!EG15</f>
        <v>0</v>
      </c>
      <c r="J30" s="20">
        <f>'TUC High Level Sales Plan'!EH15</f>
        <v>0</v>
      </c>
      <c r="K30" s="20">
        <f>'TUC High Level Sales Plan'!EI15</f>
        <v>0</v>
      </c>
      <c r="L30" s="20">
        <f>'TUC High Level Sales Plan'!EJ15</f>
        <v>0</v>
      </c>
    </row>
    <row r="31" spans="2:13" hidden="1" outlineLevel="1">
      <c r="B31" s="19" t="str">
        <f t="shared" si="1"/>
        <v>Cream Cheese</v>
      </c>
      <c r="C31" s="20">
        <f>'TUC High Level Sales Plan'!EA16</f>
        <v>0</v>
      </c>
      <c r="D31" s="20">
        <f>'TUC High Level Sales Plan'!EB16</f>
        <v>0</v>
      </c>
      <c r="E31" s="20">
        <f>'TUC High Level Sales Plan'!EC16</f>
        <v>0</v>
      </c>
      <c r="F31" s="20">
        <f>'TUC High Level Sales Plan'!ED16</f>
        <v>0</v>
      </c>
      <c r="G31" s="20">
        <f>'TUC High Level Sales Plan'!EE16</f>
        <v>0</v>
      </c>
      <c r="H31" s="20">
        <f>'TUC High Level Sales Plan'!EF16</f>
        <v>0</v>
      </c>
      <c r="I31" s="20">
        <f>'TUC High Level Sales Plan'!EG16</f>
        <v>0</v>
      </c>
      <c r="J31" s="20">
        <f>'TUC High Level Sales Plan'!EH16</f>
        <v>0</v>
      </c>
      <c r="K31" s="20">
        <f>'TUC High Level Sales Plan'!EI16</f>
        <v>0</v>
      </c>
      <c r="L31" s="20">
        <f>'TUC High Level Sales Plan'!EJ16</f>
        <v>0</v>
      </c>
    </row>
    <row r="32" spans="2:13" hidden="1" outlineLevel="1">
      <c r="B32" s="19" t="str">
        <f t="shared" si="1"/>
        <v>Milk</v>
      </c>
      <c r="C32" s="20">
        <f>'TUC High Level Sales Plan'!EA17</f>
        <v>0</v>
      </c>
      <c r="D32" s="20">
        <f>'TUC High Level Sales Plan'!EB17</f>
        <v>0</v>
      </c>
      <c r="E32" s="20">
        <f>'TUC High Level Sales Plan'!EC17</f>
        <v>0</v>
      </c>
      <c r="F32" s="20">
        <f>'TUC High Level Sales Plan'!ED17</f>
        <v>0</v>
      </c>
      <c r="G32" s="20">
        <f>'TUC High Level Sales Plan'!EE17</f>
        <v>0</v>
      </c>
      <c r="H32" s="20">
        <f>'TUC High Level Sales Plan'!EF17</f>
        <v>0</v>
      </c>
      <c r="I32" s="20">
        <f>'TUC High Level Sales Plan'!EG17</f>
        <v>0</v>
      </c>
      <c r="J32" s="20">
        <f>'TUC High Level Sales Plan'!EH17</f>
        <v>0</v>
      </c>
      <c r="K32" s="20">
        <f>'TUC High Level Sales Plan'!EI17</f>
        <v>0</v>
      </c>
      <c r="L32" s="20">
        <f>'TUC High Level Sales Plan'!EJ17</f>
        <v>0</v>
      </c>
    </row>
    <row r="33" spans="2:12" hidden="1" outlineLevel="1">
      <c r="B33" s="172" t="str">
        <f t="shared" si="1"/>
        <v>Coffee Creamer</v>
      </c>
      <c r="C33" s="20">
        <f>'TUC High Level Sales Plan'!EA18</f>
        <v>0</v>
      </c>
      <c r="D33" s="20">
        <f>'TUC High Level Sales Plan'!EB18</f>
        <v>7159.6263467852987</v>
      </c>
      <c r="E33" s="20">
        <f>'TUC High Level Sales Plan'!EC18</f>
        <v>2878.2</v>
      </c>
      <c r="F33" s="20">
        <f>'TUC High Level Sales Plan'!ED18</f>
        <v>889.36380000000008</v>
      </c>
      <c r="G33" s="20">
        <f>'TUC High Level Sales Plan'!EE18</f>
        <v>0</v>
      </c>
      <c r="H33" s="20">
        <f>'TUC High Level Sales Plan'!EF18</f>
        <v>0</v>
      </c>
      <c r="I33" s="20">
        <f>'TUC High Level Sales Plan'!EG18</f>
        <v>0</v>
      </c>
      <c r="J33" s="20">
        <f>'TUC High Level Sales Plan'!EH18</f>
        <v>0</v>
      </c>
      <c r="K33" s="20">
        <f>'TUC High Level Sales Plan'!EI18</f>
        <v>0</v>
      </c>
      <c r="L33" s="20">
        <f>'TUC High Level Sales Plan'!EJ18</f>
        <v>0</v>
      </c>
    </row>
    <row r="34" spans="2:12" hidden="1" outlineLevel="1">
      <c r="B34" s="172" t="str">
        <f t="shared" si="1"/>
        <v>Acquisition</v>
      </c>
      <c r="C34" s="20">
        <f>'TUC High Level Sales Plan'!EA19</f>
        <v>0</v>
      </c>
      <c r="D34" s="20">
        <f>'TUC High Level Sales Plan'!EB19</f>
        <v>3000</v>
      </c>
      <c r="E34" s="20">
        <f>'TUC High Level Sales Plan'!EC19</f>
        <v>1000</v>
      </c>
      <c r="F34" s="20">
        <f>'TUC High Level Sales Plan'!ED19</f>
        <v>800</v>
      </c>
      <c r="G34" s="20">
        <f>'TUC High Level Sales Plan'!EE19</f>
        <v>0</v>
      </c>
      <c r="H34" s="20">
        <f>'TUC High Level Sales Plan'!EF19</f>
        <v>0</v>
      </c>
      <c r="I34" s="20">
        <f>'TUC High Level Sales Plan'!EG19</f>
        <v>0</v>
      </c>
      <c r="J34" s="20">
        <f>'TUC High Level Sales Plan'!EH19</f>
        <v>0</v>
      </c>
      <c r="K34" s="20">
        <f>'TUC High Level Sales Plan'!EI19</f>
        <v>0</v>
      </c>
      <c r="L34" s="20">
        <f>'TUC High Level Sales Plan'!EJ19</f>
        <v>0</v>
      </c>
    </row>
    <row r="35" spans="2:12" hidden="1" outlineLevel="1">
      <c r="B35" s="172" t="str">
        <f t="shared" si="1"/>
        <v>New Market</v>
      </c>
      <c r="C35" s="20">
        <f>'TUC High Level Sales Plan'!EA20</f>
        <v>0</v>
      </c>
      <c r="D35" s="20">
        <f>'TUC High Level Sales Plan'!EB20</f>
        <v>0</v>
      </c>
      <c r="E35" s="20">
        <f>'TUC High Level Sales Plan'!EC20</f>
        <v>0</v>
      </c>
      <c r="F35" s="20">
        <f>'TUC High Level Sales Plan'!ED20</f>
        <v>0</v>
      </c>
      <c r="G35" s="20">
        <f>'TUC High Level Sales Plan'!EE20</f>
        <v>0</v>
      </c>
      <c r="H35" s="20">
        <f>'TUC High Level Sales Plan'!EF20</f>
        <v>0</v>
      </c>
      <c r="I35" s="20">
        <f>'TUC High Level Sales Plan'!EG20</f>
        <v>0</v>
      </c>
      <c r="J35" s="20">
        <f>'TUC High Level Sales Plan'!EH20</f>
        <v>0</v>
      </c>
      <c r="K35" s="20">
        <f>'TUC High Level Sales Plan'!EI20</f>
        <v>0</v>
      </c>
      <c r="L35" s="20">
        <f>'TUC High Level Sales Plan'!EJ20</f>
        <v>0</v>
      </c>
    </row>
    <row r="36" spans="2:12" ht="15" hidden="1" customHeight="1" outlineLevel="1">
      <c r="B36" s="19" t="str">
        <f t="shared" si="1"/>
        <v>Ice Cream</v>
      </c>
      <c r="C36" s="20">
        <f>'TUC High Level Sales Plan'!EA21</f>
        <v>0</v>
      </c>
      <c r="D36" s="20">
        <f>'TUC High Level Sales Plan'!EB21</f>
        <v>0</v>
      </c>
      <c r="E36" s="20">
        <f>'TUC High Level Sales Plan'!EC21</f>
        <v>0</v>
      </c>
      <c r="F36" s="20">
        <f>'TUC High Level Sales Plan'!ED21</f>
        <v>0</v>
      </c>
      <c r="G36" s="20">
        <f>'TUC High Level Sales Plan'!EE21</f>
        <v>0</v>
      </c>
      <c r="H36" s="20">
        <f>'TUC High Level Sales Plan'!EF21</f>
        <v>0</v>
      </c>
      <c r="I36" s="20">
        <f>'TUC High Level Sales Plan'!EG21</f>
        <v>0</v>
      </c>
      <c r="J36" s="20">
        <f>'TUC High Level Sales Plan'!EH21</f>
        <v>0</v>
      </c>
      <c r="K36" s="20">
        <f>'TUC High Level Sales Plan'!EI21</f>
        <v>0</v>
      </c>
      <c r="L36" s="20">
        <f>'TUC High Level Sales Plan'!EJ21</f>
        <v>0</v>
      </c>
    </row>
    <row r="37" spans="2:12" ht="15" hidden="1" customHeight="1" outlineLevel="1">
      <c r="B37" s="19" t="str">
        <f t="shared" si="1"/>
        <v>Ice Cream</v>
      </c>
      <c r="C37" s="20">
        <f>'TUC High Level Sales Plan'!EA22</f>
        <v>0</v>
      </c>
      <c r="D37" s="20">
        <f>'TUC High Level Sales Plan'!EB22</f>
        <v>0</v>
      </c>
      <c r="E37" s="20">
        <f>'TUC High Level Sales Plan'!EC22</f>
        <v>0</v>
      </c>
      <c r="F37" s="20">
        <f>'TUC High Level Sales Plan'!ED22</f>
        <v>0</v>
      </c>
      <c r="G37" s="20">
        <f>'TUC High Level Sales Plan'!EE22</f>
        <v>0</v>
      </c>
      <c r="H37" s="20">
        <f>'TUC High Level Sales Plan'!EF22</f>
        <v>0</v>
      </c>
      <c r="I37" s="20">
        <f>'TUC High Level Sales Plan'!EG22</f>
        <v>0</v>
      </c>
      <c r="J37" s="20">
        <f>'TUC High Level Sales Plan'!EH22</f>
        <v>0</v>
      </c>
      <c r="K37" s="20">
        <f>'TUC High Level Sales Plan'!EI22</f>
        <v>0</v>
      </c>
      <c r="L37" s="20">
        <f>'TUC High Level Sales Plan'!EJ22</f>
        <v>0</v>
      </c>
    </row>
    <row r="38" spans="2:12" ht="15" customHeight="1" collapsed="1" thickBot="1">
      <c r="B38" s="23" t="s">
        <v>76</v>
      </c>
      <c r="C38" s="173">
        <f>SUM(C23:C37)</f>
        <v>0</v>
      </c>
      <c r="D38" s="173">
        <f t="shared" ref="D38:L38" si="2">SUM(D23:D37)</f>
        <v>10768</v>
      </c>
      <c r="E38" s="173">
        <f t="shared" si="2"/>
        <v>3878.2</v>
      </c>
      <c r="F38" s="173">
        <f t="shared" si="2"/>
        <v>1689.3638000000001</v>
      </c>
      <c r="G38" s="173">
        <f t="shared" si="2"/>
        <v>0</v>
      </c>
      <c r="H38" s="173">
        <f t="shared" si="2"/>
        <v>0</v>
      </c>
      <c r="I38" s="173">
        <f t="shared" si="2"/>
        <v>0</v>
      </c>
      <c r="J38" s="173">
        <f t="shared" si="2"/>
        <v>0</v>
      </c>
      <c r="K38" s="173">
        <f t="shared" si="2"/>
        <v>0</v>
      </c>
      <c r="L38" s="173">
        <f t="shared" si="2"/>
        <v>0</v>
      </c>
    </row>
    <row r="39" spans="2:12" ht="3.75" customHeight="1">
      <c r="C39" s="14"/>
      <c r="D39" s="14"/>
      <c r="E39" s="14"/>
      <c r="F39" s="14"/>
      <c r="G39" s="14"/>
      <c r="H39" s="14"/>
      <c r="I39" s="14"/>
      <c r="J39" s="14"/>
      <c r="K39" s="14"/>
      <c r="L39" s="14"/>
    </row>
    <row r="40" spans="2:12" s="15" customFormat="1" ht="15" customHeight="1">
      <c r="B40" s="531" t="s">
        <v>77</v>
      </c>
      <c r="C40" s="532"/>
      <c r="D40" s="532"/>
      <c r="E40" s="532"/>
      <c r="F40" s="532"/>
      <c r="G40" s="532"/>
      <c r="H40" s="532"/>
      <c r="I40" s="532"/>
      <c r="J40" s="532"/>
      <c r="K40" s="532"/>
      <c r="L40" s="532"/>
    </row>
    <row r="41" spans="2:12" ht="15" customHeight="1" thickBot="1">
      <c r="B41" s="23" t="s">
        <v>76</v>
      </c>
      <c r="C41" s="173">
        <f>'TUC High Level Sales Plan'!FS$44</f>
        <v>0</v>
      </c>
      <c r="D41" s="173">
        <f>'TUC High Level Sales Plan'!FT$44</f>
        <v>10366.000000000005</v>
      </c>
      <c r="E41" s="173">
        <f>'TUC High Level Sales Plan'!FU$44</f>
        <v>3322.11</v>
      </c>
      <c r="F41" s="173">
        <f>'TUC High Level Sales Plan'!FV$44</f>
        <v>1022.6401440000001</v>
      </c>
      <c r="G41" s="173">
        <f>'TUC High Level Sales Plan'!FW$44</f>
        <v>0</v>
      </c>
      <c r="H41" s="173">
        <f>'TUC High Level Sales Plan'!FX$44</f>
        <v>0</v>
      </c>
      <c r="I41" s="173">
        <f>'TUC High Level Sales Plan'!FY$44</f>
        <v>0</v>
      </c>
      <c r="J41" s="173">
        <f>'TUC High Level Sales Plan'!FZ$44</f>
        <v>0</v>
      </c>
      <c r="K41" s="173">
        <f>'TUC High Level Sales Plan'!GA$44</f>
        <v>0</v>
      </c>
      <c r="L41" s="173">
        <f>'TUC High Level Sales Plan'!GB$44</f>
        <v>0</v>
      </c>
    </row>
    <row r="42" spans="2:12" ht="3.75" customHeight="1">
      <c r="C42" s="14"/>
      <c r="D42" s="14"/>
      <c r="E42" s="14"/>
      <c r="F42" s="14"/>
      <c r="G42" s="14"/>
      <c r="H42" s="14"/>
      <c r="I42" s="14"/>
      <c r="J42" s="14"/>
      <c r="K42" s="14"/>
      <c r="L42" s="14"/>
    </row>
    <row r="43" spans="2:12" s="15" customFormat="1">
      <c r="B43" s="174" t="s">
        <v>78</v>
      </c>
      <c r="C43" s="175"/>
      <c r="D43" s="175"/>
      <c r="E43" s="175"/>
      <c r="F43" s="175"/>
      <c r="G43" s="175"/>
      <c r="H43" s="175"/>
      <c r="I43" s="175"/>
      <c r="J43" s="175"/>
      <c r="K43" s="175"/>
      <c r="L43" s="175"/>
    </row>
    <row r="44" spans="2:12" ht="15" customHeight="1" thickBot="1">
      <c r="B44" s="23" t="s">
        <v>76</v>
      </c>
      <c r="C44" s="173">
        <f>C38-C41</f>
        <v>0</v>
      </c>
      <c r="D44" s="173">
        <f t="shared" ref="D44:L44" si="3">D38-D41</f>
        <v>401.99999999999454</v>
      </c>
      <c r="E44" s="173">
        <f t="shared" si="3"/>
        <v>556.08999999999969</v>
      </c>
      <c r="F44" s="173">
        <f t="shared" si="3"/>
        <v>666.72365600000001</v>
      </c>
      <c r="G44" s="173">
        <f t="shared" si="3"/>
        <v>0</v>
      </c>
      <c r="H44" s="173">
        <f t="shared" si="3"/>
        <v>0</v>
      </c>
      <c r="I44" s="173">
        <f t="shared" si="3"/>
        <v>0</v>
      </c>
      <c r="J44" s="173">
        <f t="shared" si="3"/>
        <v>0</v>
      </c>
      <c r="K44" s="173">
        <f t="shared" si="3"/>
        <v>0</v>
      </c>
      <c r="L44" s="173">
        <f t="shared" si="3"/>
        <v>0</v>
      </c>
    </row>
    <row r="45" spans="2:12" ht="3.75" customHeight="1">
      <c r="C45" s="14"/>
      <c r="D45" s="14"/>
      <c r="E45" s="14"/>
      <c r="F45" s="14"/>
      <c r="G45" s="14"/>
      <c r="H45" s="14"/>
      <c r="I45" s="14"/>
      <c r="J45" s="14"/>
      <c r="K45" s="14"/>
      <c r="L45" s="14"/>
    </row>
    <row r="46" spans="2:12" s="15" customFormat="1">
      <c r="B46" s="28" t="s">
        <v>79</v>
      </c>
      <c r="C46" s="29"/>
      <c r="D46" s="29"/>
      <c r="E46" s="29"/>
      <c r="F46" s="29"/>
      <c r="G46" s="29"/>
      <c r="H46" s="29"/>
      <c r="I46" s="29"/>
      <c r="J46" s="29"/>
      <c r="K46" s="29"/>
      <c r="L46" s="29"/>
    </row>
    <row r="47" spans="2:12" ht="15" customHeight="1" thickBot="1">
      <c r="B47" s="23" t="s">
        <v>76</v>
      </c>
      <c r="C47" s="173">
        <f>Overheads!C167</f>
        <v>0</v>
      </c>
      <c r="D47" s="173">
        <f>Overheads!D167</f>
        <v>16465.943761568502</v>
      </c>
      <c r="E47" s="173">
        <f>Overheads!E167</f>
        <v>1221.5242283453058</v>
      </c>
      <c r="F47" s="173">
        <f>Overheads!F167</f>
        <v>580.116630861673</v>
      </c>
      <c r="G47" s="173">
        <f>Overheads!G167</f>
        <v>0</v>
      </c>
      <c r="H47" s="173">
        <f>Overheads!H167</f>
        <v>0</v>
      </c>
      <c r="I47" s="173">
        <f>Overheads!I167</f>
        <v>0</v>
      </c>
      <c r="J47" s="173">
        <f>Overheads!J167</f>
        <v>0</v>
      </c>
      <c r="K47" s="173">
        <f>Overheads!K167</f>
        <v>0</v>
      </c>
      <c r="L47" s="173">
        <f>Overheads!L167</f>
        <v>0</v>
      </c>
    </row>
    <row r="48" spans="2:12" ht="3.75" customHeight="1">
      <c r="C48" s="14"/>
      <c r="D48" s="14"/>
      <c r="E48" s="14"/>
      <c r="F48" s="14"/>
      <c r="G48" s="14"/>
      <c r="H48" s="14"/>
      <c r="I48" s="14"/>
      <c r="J48" s="14"/>
      <c r="K48" s="14"/>
      <c r="L48" s="14"/>
    </row>
    <row r="49" spans="2:12" s="15" customFormat="1">
      <c r="B49" s="28" t="s">
        <v>81</v>
      </c>
      <c r="C49" s="29"/>
      <c r="D49" s="29"/>
      <c r="E49" s="29"/>
      <c r="F49" s="29"/>
      <c r="G49" s="29"/>
      <c r="H49" s="29"/>
      <c r="I49" s="29"/>
      <c r="J49" s="29"/>
      <c r="K49" s="29"/>
      <c r="L49" s="29"/>
    </row>
    <row r="50" spans="2:12" ht="15" customHeight="1" thickBot="1">
      <c r="B50" s="23" t="s">
        <v>76</v>
      </c>
      <c r="C50" s="173">
        <f>C44-C47</f>
        <v>0</v>
      </c>
      <c r="D50" s="173">
        <f t="shared" ref="D50:G50" si="4">D44-D47</f>
        <v>-16063.943761568507</v>
      </c>
      <c r="E50" s="173">
        <f t="shared" si="4"/>
        <v>-665.43422834530611</v>
      </c>
      <c r="F50" s="173">
        <f t="shared" si="4"/>
        <v>86.607025138327003</v>
      </c>
      <c r="G50" s="173">
        <f t="shared" si="4"/>
        <v>0</v>
      </c>
      <c r="H50" s="173">
        <f t="shared" ref="H50:L50" si="5">H44-H47</f>
        <v>0</v>
      </c>
      <c r="I50" s="173">
        <f t="shared" si="5"/>
        <v>0</v>
      </c>
      <c r="J50" s="173">
        <f t="shared" si="5"/>
        <v>0</v>
      </c>
      <c r="K50" s="173">
        <f t="shared" si="5"/>
        <v>0</v>
      </c>
      <c r="L50" s="173">
        <f t="shared" si="5"/>
        <v>0</v>
      </c>
    </row>
    <row r="51" spans="2:12" ht="15" customHeight="1">
      <c r="B51" s="176"/>
      <c r="C51" s="177"/>
      <c r="D51" s="178"/>
      <c r="E51" s="178"/>
      <c r="F51" s="178"/>
      <c r="G51" s="178"/>
      <c r="H51" s="178"/>
      <c r="I51" s="178"/>
      <c r="J51" s="178"/>
      <c r="K51" s="178"/>
      <c r="L51" s="178"/>
    </row>
  </sheetData>
  <pageMargins left="0.7" right="0.7" top="0.75" bottom="0.75" header="0.3" footer="0.3"/>
  <pageSetup scale="63"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FE2D4-2090-4E04-979F-3759B6985589}">
  <sheetPr>
    <tabColor theme="6" tint="0.79998168889431442"/>
  </sheetPr>
  <dimension ref="A1:GD59"/>
  <sheetViews>
    <sheetView workbookViewId="0"/>
  </sheetViews>
  <sheetFormatPr defaultColWidth="0" defaultRowHeight="0" customHeight="1" zeroHeight="1" outlineLevelCol="1"/>
  <cols>
    <col min="1" max="1" width="1.5546875" style="8" customWidth="1"/>
    <col min="2" max="2" width="23.44140625" style="8" customWidth="1"/>
    <col min="3" max="3" width="15.33203125" style="8" bestFit="1" customWidth="1"/>
    <col min="4" max="4" width="16.109375" style="8" bestFit="1" customWidth="1"/>
    <col min="5" max="5" width="16.5546875" style="8" hidden="1" customWidth="1"/>
    <col min="6" max="6" width="11.44140625" style="8" hidden="1" customWidth="1"/>
    <col min="7" max="7" width="17.44140625" style="8" hidden="1" customWidth="1"/>
    <col min="8" max="8" width="8.5546875" style="8" hidden="1" customWidth="1"/>
    <col min="9" max="9" width="0.5546875" style="8" customWidth="1"/>
    <col min="10" max="10" width="10.44140625" style="8" customWidth="1" outlineLevel="1"/>
    <col min="11" max="19" width="8.5546875" style="8" customWidth="1" outlineLevel="1"/>
    <col min="20" max="20" width="0.5546875" style="8" customWidth="1" outlineLevel="1"/>
    <col min="21" max="21" width="10.44140625" style="8" customWidth="1" outlineLevel="1"/>
    <col min="22" max="30" width="8.5546875" style="8" customWidth="1" outlineLevel="1"/>
    <col min="31" max="31" width="0.5546875" style="8" customWidth="1" outlineLevel="1"/>
    <col min="32" max="32" width="10.44140625" style="8" customWidth="1" outlineLevel="1"/>
    <col min="33" max="41" width="8.5546875" style="8" customWidth="1" outlineLevel="1"/>
    <col min="42" max="42" width="0.5546875" style="8" customWidth="1" outlineLevel="1"/>
    <col min="43" max="43" width="10.44140625" style="8" customWidth="1" outlineLevel="1"/>
    <col min="44" max="52" width="8.5546875" style="8" customWidth="1" outlineLevel="1"/>
    <col min="53" max="53" width="0.5546875" style="8" customWidth="1" outlineLevel="1"/>
    <col min="54" max="54" width="10.44140625" style="8" customWidth="1" outlineLevel="1"/>
    <col min="55" max="63" width="8.5546875" style="8" customWidth="1" outlineLevel="1"/>
    <col min="64" max="64" width="0.5546875" style="8" customWidth="1" outlineLevel="1"/>
    <col min="65" max="74" width="11.44140625" style="8" customWidth="1" outlineLevel="1"/>
    <col min="75" max="75" width="0.5546875" style="8" customWidth="1" outlineLevel="1"/>
    <col min="76" max="76" width="10.5546875" style="8" customWidth="1" outlineLevel="1"/>
    <col min="77" max="77" width="11.5546875" style="8" customWidth="1" outlineLevel="1"/>
    <col min="78" max="78" width="12" style="8" customWidth="1" outlineLevel="1"/>
    <col min="79" max="79" width="10.44140625" style="8" customWidth="1" outlineLevel="1"/>
    <col min="80" max="85" width="10.5546875" style="8" customWidth="1" outlineLevel="1"/>
    <col min="86" max="86" width="0.5546875" style="8" customWidth="1"/>
    <col min="87" max="96" width="10.5546875" style="8" customWidth="1"/>
    <col min="97" max="97" width="0.5546875" style="8" customWidth="1"/>
    <col min="98" max="107" width="11" style="8" customWidth="1"/>
    <col min="108" max="108" width="0.5546875" style="8" customWidth="1"/>
    <col min="109" max="118" width="11.5546875" style="8" customWidth="1"/>
    <col min="119" max="119" width="0.5546875" style="8" customWidth="1"/>
    <col min="120" max="129" width="9.5546875" style="8" customWidth="1"/>
    <col min="130" max="130" width="0.5546875" style="8" customWidth="1"/>
    <col min="131" max="140" width="13.44140625" style="8" customWidth="1"/>
    <col min="141" max="141" width="0.5546875" style="8" customWidth="1"/>
    <col min="142" max="142" width="9.5546875" style="8" customWidth="1"/>
    <col min="143" max="143" width="8.109375" style="8" bestFit="1" customWidth="1"/>
    <col min="144" max="144" width="9" style="8" bestFit="1" customWidth="1"/>
    <col min="145" max="145" width="9.6640625" style="8" bestFit="1" customWidth="1"/>
    <col min="146" max="146" width="10.109375" style="8" bestFit="1" customWidth="1"/>
    <col min="147" max="147" width="10.33203125" style="8" bestFit="1" customWidth="1"/>
    <col min="148" max="148" width="9.88671875" style="8" bestFit="1" customWidth="1"/>
    <col min="149" max="149" width="9.44140625" style="8" bestFit="1" customWidth="1"/>
    <col min="150" max="150" width="10.109375" style="8" bestFit="1" customWidth="1"/>
    <col min="151" max="151" width="9.5546875" style="8" customWidth="1"/>
    <col min="152" max="152" width="0.5546875" style="8" customWidth="1"/>
    <col min="153" max="162" width="9.5546875" style="8" customWidth="1"/>
    <col min="163" max="163" width="0.5546875" style="8" customWidth="1"/>
    <col min="164" max="173" width="9.5546875" style="8" customWidth="1"/>
    <col min="174" max="174" width="0.5546875" style="8" customWidth="1"/>
    <col min="175" max="184" width="12.44140625" style="8" customWidth="1"/>
    <col min="185" max="186" width="1.5546875" style="8" customWidth="1"/>
    <col min="187" max="16384" width="8.5546875" style="8" hidden="1"/>
  </cols>
  <sheetData>
    <row r="1" spans="1:185" ht="70.5" customHeight="1">
      <c r="A1" s="452"/>
      <c r="B1" s="10" t="s">
        <v>132</v>
      </c>
      <c r="C1" s="10"/>
      <c r="D1" s="10"/>
      <c r="E1" s="11"/>
      <c r="F1" s="11"/>
      <c r="G1" s="11"/>
      <c r="H1" s="10"/>
      <c r="I1" s="10"/>
      <c r="J1" s="11"/>
      <c r="K1" s="11"/>
      <c r="L1" s="11"/>
      <c r="M1" s="11"/>
      <c r="N1" s="11"/>
      <c r="O1" s="11"/>
      <c r="P1" s="11"/>
      <c r="Q1" s="11"/>
      <c r="R1" s="11"/>
      <c r="S1" s="11"/>
      <c r="T1" s="10"/>
      <c r="U1" s="11"/>
      <c r="V1" s="11"/>
      <c r="W1" s="11"/>
      <c r="X1" s="11"/>
      <c r="Y1" s="11"/>
      <c r="Z1" s="11"/>
      <c r="AA1" s="11"/>
      <c r="AB1" s="11"/>
      <c r="AC1" s="11"/>
      <c r="AD1" s="11"/>
      <c r="AE1" s="10"/>
      <c r="AF1" s="11"/>
      <c r="AG1" s="11"/>
      <c r="AH1" s="11"/>
      <c r="AI1" s="11"/>
      <c r="AJ1" s="11"/>
      <c r="AK1" s="11"/>
      <c r="AL1" s="11"/>
      <c r="AM1" s="11"/>
      <c r="AN1" s="11"/>
      <c r="AO1" s="11"/>
      <c r="AP1" s="10"/>
      <c r="AQ1" s="11"/>
      <c r="AR1" s="11"/>
      <c r="AS1" s="11"/>
      <c r="AT1" s="11"/>
      <c r="AU1" s="11"/>
      <c r="AV1" s="11"/>
      <c r="AW1" s="11"/>
      <c r="AX1" s="11"/>
      <c r="AY1" s="11"/>
      <c r="AZ1" s="11"/>
      <c r="BA1" s="10"/>
      <c r="BB1" s="11"/>
      <c r="BC1" s="11"/>
      <c r="BD1" s="11"/>
      <c r="BE1" s="11"/>
      <c r="BF1" s="11"/>
      <c r="BG1" s="11"/>
      <c r="BH1" s="11"/>
      <c r="BI1" s="11"/>
      <c r="BJ1" s="11"/>
      <c r="BK1" s="11"/>
      <c r="BL1" s="10"/>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row>
    <row r="2" spans="1:185" ht="13.5"/>
    <row r="3" spans="1:185" ht="13.5">
      <c r="J3" s="140" t="s">
        <v>133</v>
      </c>
      <c r="K3" s="140"/>
      <c r="L3" s="140"/>
      <c r="M3" s="140"/>
      <c r="N3" s="140"/>
      <c r="O3" s="140"/>
      <c r="P3" s="140"/>
      <c r="Q3" s="140"/>
      <c r="R3" s="140"/>
      <c r="S3" s="140"/>
      <c r="U3" s="140" t="s">
        <v>133</v>
      </c>
      <c r="V3" s="140"/>
      <c r="W3" s="140"/>
      <c r="X3" s="140"/>
      <c r="Y3" s="140"/>
      <c r="Z3" s="140"/>
      <c r="AA3" s="140"/>
      <c r="AB3" s="140"/>
      <c r="AC3" s="140"/>
      <c r="AD3" s="140"/>
      <c r="AF3" s="140" t="s">
        <v>133</v>
      </c>
      <c r="AG3" s="140"/>
      <c r="AH3" s="140"/>
      <c r="AI3" s="140"/>
      <c r="AJ3" s="140"/>
      <c r="AK3" s="140"/>
      <c r="AL3" s="140"/>
      <c r="AM3" s="140"/>
      <c r="AN3" s="140"/>
      <c r="AO3" s="140"/>
      <c r="AQ3" s="140" t="s">
        <v>133</v>
      </c>
      <c r="AR3" s="140"/>
      <c r="AS3" s="140"/>
      <c r="AT3" s="140"/>
      <c r="AU3" s="140"/>
      <c r="AV3" s="140"/>
      <c r="AW3" s="140"/>
      <c r="AX3" s="140"/>
      <c r="AY3" s="140"/>
      <c r="AZ3" s="140"/>
      <c r="BB3" s="140" t="s">
        <v>133</v>
      </c>
      <c r="BC3" s="140"/>
      <c r="BD3" s="140"/>
      <c r="BE3" s="140"/>
      <c r="BF3" s="140"/>
      <c r="BG3" s="140"/>
      <c r="BH3" s="140"/>
      <c r="BI3" s="140"/>
      <c r="BJ3" s="140"/>
      <c r="BK3" s="140"/>
      <c r="BM3" s="141" t="s">
        <v>134</v>
      </c>
      <c r="BN3" s="141"/>
      <c r="BO3" s="141"/>
      <c r="BP3" s="141"/>
      <c r="BQ3" s="141"/>
      <c r="BR3" s="141"/>
      <c r="BS3" s="141"/>
      <c r="BT3" s="141"/>
      <c r="BU3" s="141"/>
      <c r="BV3" s="141"/>
      <c r="BX3" s="140" t="s">
        <v>133</v>
      </c>
      <c r="BY3" s="140"/>
      <c r="BZ3" s="140"/>
      <c r="CA3" s="140"/>
      <c r="CB3" s="140"/>
      <c r="CC3" s="140"/>
      <c r="CD3" s="140"/>
      <c r="CE3" s="140"/>
      <c r="CF3" s="140"/>
      <c r="CG3" s="140"/>
      <c r="CI3" s="141" t="s">
        <v>134</v>
      </c>
      <c r="CJ3" s="141"/>
      <c r="CK3" s="141"/>
      <c r="CL3" s="141"/>
      <c r="CM3" s="141"/>
      <c r="CN3" s="141"/>
      <c r="CO3" s="141"/>
      <c r="CP3" s="141"/>
      <c r="CQ3" s="141"/>
      <c r="CR3" s="141"/>
      <c r="CT3" s="140" t="s">
        <v>133</v>
      </c>
      <c r="CU3" s="140"/>
      <c r="CV3" s="140"/>
      <c r="CW3" s="140"/>
      <c r="CX3" s="140"/>
      <c r="CY3" s="140"/>
      <c r="CZ3" s="140"/>
      <c r="DA3" s="140"/>
      <c r="DB3" s="140"/>
      <c r="DC3" s="140"/>
      <c r="DE3" s="141" t="s">
        <v>134</v>
      </c>
      <c r="DF3" s="141"/>
      <c r="DG3" s="141"/>
      <c r="DH3" s="141"/>
      <c r="DI3" s="141"/>
      <c r="DJ3" s="141"/>
      <c r="DK3" s="141"/>
      <c r="DL3" s="141"/>
      <c r="DM3" s="141"/>
      <c r="DN3" s="141"/>
      <c r="DP3" s="140" t="s">
        <v>133</v>
      </c>
      <c r="DQ3" s="140"/>
      <c r="DR3" s="140"/>
      <c r="DS3" s="140"/>
      <c r="DT3" s="140"/>
      <c r="DU3" s="140"/>
      <c r="DV3" s="140"/>
      <c r="DW3" s="140"/>
      <c r="DX3" s="140"/>
      <c r="DY3" s="140"/>
      <c r="EA3" s="141" t="s">
        <v>134</v>
      </c>
      <c r="EB3" s="141"/>
      <c r="EC3" s="141"/>
      <c r="ED3" s="141"/>
      <c r="EE3" s="141"/>
      <c r="EF3" s="141"/>
      <c r="EG3" s="141"/>
      <c r="EH3" s="141"/>
      <c r="EI3" s="141"/>
      <c r="EJ3" s="141"/>
      <c r="EL3" s="141" t="s">
        <v>134</v>
      </c>
      <c r="EM3" s="141"/>
      <c r="EN3" s="141"/>
      <c r="EO3" s="141"/>
      <c r="EP3" s="141"/>
      <c r="EQ3" s="141"/>
      <c r="ER3" s="141"/>
      <c r="ES3" s="141"/>
      <c r="ET3" s="141"/>
      <c r="EU3" s="141"/>
      <c r="EW3" s="141" t="s">
        <v>134</v>
      </c>
      <c r="EX3" s="141"/>
      <c r="EY3" s="141"/>
      <c r="EZ3" s="141"/>
      <c r="FA3" s="141"/>
      <c r="FB3" s="141"/>
      <c r="FC3" s="141"/>
      <c r="FD3" s="141"/>
      <c r="FE3" s="141"/>
      <c r="FF3" s="141"/>
      <c r="FH3" s="140" t="s">
        <v>133</v>
      </c>
      <c r="FI3" s="140"/>
      <c r="FJ3" s="140"/>
      <c r="FK3" s="140"/>
      <c r="FL3" s="140"/>
      <c r="FM3" s="140"/>
      <c r="FN3" s="140"/>
      <c r="FO3" s="140"/>
      <c r="FP3" s="140"/>
      <c r="FQ3" s="140"/>
      <c r="FS3" s="141" t="s">
        <v>134</v>
      </c>
      <c r="FT3" s="141"/>
      <c r="FU3" s="141"/>
      <c r="FV3" s="141"/>
      <c r="FW3" s="141"/>
      <c r="FX3" s="141"/>
      <c r="FY3" s="141"/>
      <c r="FZ3" s="141"/>
      <c r="GA3" s="141"/>
      <c r="GB3" s="141"/>
    </row>
    <row r="4" spans="1:185" ht="3.75" customHeight="1"/>
    <row r="5" spans="1:185" ht="13.5">
      <c r="B5" s="12" t="s">
        <v>64</v>
      </c>
      <c r="C5" s="12"/>
      <c r="D5" s="12"/>
      <c r="E5" s="13"/>
      <c r="F5" s="13"/>
      <c r="G5" s="13"/>
      <c r="H5" s="12"/>
      <c r="J5" s="13">
        <v>2022</v>
      </c>
      <c r="K5" s="13">
        <f>J5+1</f>
        <v>2023</v>
      </c>
      <c r="L5" s="13">
        <f t="shared" ref="L5:S5" si="0">K5+1</f>
        <v>2024</v>
      </c>
      <c r="M5" s="13">
        <f t="shared" si="0"/>
        <v>2025</v>
      </c>
      <c r="N5" s="13">
        <f t="shared" si="0"/>
        <v>2026</v>
      </c>
      <c r="O5" s="13">
        <f t="shared" si="0"/>
        <v>2027</v>
      </c>
      <c r="P5" s="13">
        <f t="shared" si="0"/>
        <v>2028</v>
      </c>
      <c r="Q5" s="13">
        <f t="shared" si="0"/>
        <v>2029</v>
      </c>
      <c r="R5" s="13">
        <f t="shared" si="0"/>
        <v>2030</v>
      </c>
      <c r="S5" s="13">
        <f t="shared" si="0"/>
        <v>2031</v>
      </c>
      <c r="U5" s="13">
        <v>2022</v>
      </c>
      <c r="V5" s="13">
        <f>U5+1</f>
        <v>2023</v>
      </c>
      <c r="W5" s="13">
        <f t="shared" ref="W5:AD5" si="1">V5+1</f>
        <v>2024</v>
      </c>
      <c r="X5" s="13">
        <f t="shared" si="1"/>
        <v>2025</v>
      </c>
      <c r="Y5" s="13">
        <f t="shared" si="1"/>
        <v>2026</v>
      </c>
      <c r="Z5" s="13">
        <f t="shared" si="1"/>
        <v>2027</v>
      </c>
      <c r="AA5" s="13">
        <f t="shared" si="1"/>
        <v>2028</v>
      </c>
      <c r="AB5" s="13">
        <f t="shared" si="1"/>
        <v>2029</v>
      </c>
      <c r="AC5" s="13">
        <f t="shared" si="1"/>
        <v>2030</v>
      </c>
      <c r="AD5" s="13">
        <f t="shared" si="1"/>
        <v>2031</v>
      </c>
      <c r="AF5" s="13">
        <v>2022</v>
      </c>
      <c r="AG5" s="13">
        <f>AF5+1</f>
        <v>2023</v>
      </c>
      <c r="AH5" s="13">
        <f t="shared" ref="AH5:AO5" si="2">AG5+1</f>
        <v>2024</v>
      </c>
      <c r="AI5" s="13">
        <f t="shared" si="2"/>
        <v>2025</v>
      </c>
      <c r="AJ5" s="13">
        <f t="shared" si="2"/>
        <v>2026</v>
      </c>
      <c r="AK5" s="13">
        <f t="shared" si="2"/>
        <v>2027</v>
      </c>
      <c r="AL5" s="13">
        <f t="shared" si="2"/>
        <v>2028</v>
      </c>
      <c r="AM5" s="13">
        <f t="shared" si="2"/>
        <v>2029</v>
      </c>
      <c r="AN5" s="13">
        <f t="shared" si="2"/>
        <v>2030</v>
      </c>
      <c r="AO5" s="13">
        <f t="shared" si="2"/>
        <v>2031</v>
      </c>
      <c r="AQ5" s="13">
        <v>2022</v>
      </c>
      <c r="AR5" s="13">
        <f>AQ5+1</f>
        <v>2023</v>
      </c>
      <c r="AS5" s="13">
        <f t="shared" ref="AS5:AZ5" si="3">AR5+1</f>
        <v>2024</v>
      </c>
      <c r="AT5" s="13">
        <f t="shared" si="3"/>
        <v>2025</v>
      </c>
      <c r="AU5" s="13">
        <f t="shared" si="3"/>
        <v>2026</v>
      </c>
      <c r="AV5" s="13">
        <f t="shared" si="3"/>
        <v>2027</v>
      </c>
      <c r="AW5" s="13">
        <f t="shared" si="3"/>
        <v>2028</v>
      </c>
      <c r="AX5" s="13">
        <f t="shared" si="3"/>
        <v>2029</v>
      </c>
      <c r="AY5" s="13">
        <f t="shared" si="3"/>
        <v>2030</v>
      </c>
      <c r="AZ5" s="13">
        <f t="shared" si="3"/>
        <v>2031</v>
      </c>
      <c r="BB5" s="13">
        <v>2022</v>
      </c>
      <c r="BC5" s="13">
        <f>BB5+1</f>
        <v>2023</v>
      </c>
      <c r="BD5" s="13">
        <f t="shared" ref="BD5:BK5" si="4">BC5+1</f>
        <v>2024</v>
      </c>
      <c r="BE5" s="13">
        <f t="shared" si="4"/>
        <v>2025</v>
      </c>
      <c r="BF5" s="13">
        <f t="shared" si="4"/>
        <v>2026</v>
      </c>
      <c r="BG5" s="13">
        <f t="shared" si="4"/>
        <v>2027</v>
      </c>
      <c r="BH5" s="13">
        <f t="shared" si="4"/>
        <v>2028</v>
      </c>
      <c r="BI5" s="13">
        <f t="shared" si="4"/>
        <v>2029</v>
      </c>
      <c r="BJ5" s="13">
        <f t="shared" si="4"/>
        <v>2030</v>
      </c>
      <c r="BK5" s="13">
        <f t="shared" si="4"/>
        <v>2031</v>
      </c>
      <c r="BM5" s="13">
        <v>2022</v>
      </c>
      <c r="BN5" s="13">
        <f>BM5+1</f>
        <v>2023</v>
      </c>
      <c r="BO5" s="13">
        <f t="shared" ref="BO5:BV5" si="5">BN5+1</f>
        <v>2024</v>
      </c>
      <c r="BP5" s="13">
        <f t="shared" si="5"/>
        <v>2025</v>
      </c>
      <c r="BQ5" s="13">
        <f t="shared" si="5"/>
        <v>2026</v>
      </c>
      <c r="BR5" s="13">
        <f t="shared" si="5"/>
        <v>2027</v>
      </c>
      <c r="BS5" s="13">
        <f t="shared" si="5"/>
        <v>2028</v>
      </c>
      <c r="BT5" s="13">
        <f t="shared" si="5"/>
        <v>2029</v>
      </c>
      <c r="BU5" s="13">
        <f t="shared" si="5"/>
        <v>2030</v>
      </c>
      <c r="BV5" s="13">
        <f t="shared" si="5"/>
        <v>2031</v>
      </c>
      <c r="BX5" s="13">
        <v>2022</v>
      </c>
      <c r="BY5" s="13">
        <f>BX5+1</f>
        <v>2023</v>
      </c>
      <c r="BZ5" s="13">
        <f t="shared" ref="BZ5:CG5" si="6">BY5+1</f>
        <v>2024</v>
      </c>
      <c r="CA5" s="13">
        <f t="shared" si="6"/>
        <v>2025</v>
      </c>
      <c r="CB5" s="13">
        <f t="shared" si="6"/>
        <v>2026</v>
      </c>
      <c r="CC5" s="13">
        <f t="shared" si="6"/>
        <v>2027</v>
      </c>
      <c r="CD5" s="13">
        <f t="shared" si="6"/>
        <v>2028</v>
      </c>
      <c r="CE5" s="13">
        <f t="shared" si="6"/>
        <v>2029</v>
      </c>
      <c r="CF5" s="13">
        <f t="shared" si="6"/>
        <v>2030</v>
      </c>
      <c r="CG5" s="13">
        <f t="shared" si="6"/>
        <v>2031</v>
      </c>
      <c r="CI5" s="13">
        <v>2022</v>
      </c>
      <c r="CJ5" s="13">
        <f>CI5+1</f>
        <v>2023</v>
      </c>
      <c r="CK5" s="13">
        <f t="shared" ref="CK5:CR5" si="7">CJ5+1</f>
        <v>2024</v>
      </c>
      <c r="CL5" s="13">
        <f t="shared" si="7"/>
        <v>2025</v>
      </c>
      <c r="CM5" s="13">
        <f t="shared" si="7"/>
        <v>2026</v>
      </c>
      <c r="CN5" s="13">
        <f t="shared" si="7"/>
        <v>2027</v>
      </c>
      <c r="CO5" s="13">
        <f t="shared" si="7"/>
        <v>2028</v>
      </c>
      <c r="CP5" s="13">
        <f t="shared" si="7"/>
        <v>2029</v>
      </c>
      <c r="CQ5" s="13">
        <f t="shared" si="7"/>
        <v>2030</v>
      </c>
      <c r="CR5" s="13">
        <f t="shared" si="7"/>
        <v>2031</v>
      </c>
      <c r="CT5" s="13">
        <v>2022</v>
      </c>
      <c r="CU5" s="13">
        <f>CT5+1</f>
        <v>2023</v>
      </c>
      <c r="CV5" s="13">
        <f t="shared" ref="CV5:DC5" si="8">CU5+1</f>
        <v>2024</v>
      </c>
      <c r="CW5" s="13">
        <f t="shared" si="8"/>
        <v>2025</v>
      </c>
      <c r="CX5" s="13">
        <f t="shared" si="8"/>
        <v>2026</v>
      </c>
      <c r="CY5" s="13">
        <f t="shared" si="8"/>
        <v>2027</v>
      </c>
      <c r="CZ5" s="13">
        <f t="shared" si="8"/>
        <v>2028</v>
      </c>
      <c r="DA5" s="13">
        <f t="shared" si="8"/>
        <v>2029</v>
      </c>
      <c r="DB5" s="13">
        <f t="shared" si="8"/>
        <v>2030</v>
      </c>
      <c r="DC5" s="13">
        <f t="shared" si="8"/>
        <v>2031</v>
      </c>
      <c r="DE5" s="13">
        <v>2022</v>
      </c>
      <c r="DF5" s="13">
        <f>DE5+1</f>
        <v>2023</v>
      </c>
      <c r="DG5" s="13">
        <f t="shared" ref="DG5:DN5" si="9">DF5+1</f>
        <v>2024</v>
      </c>
      <c r="DH5" s="13">
        <f t="shared" si="9"/>
        <v>2025</v>
      </c>
      <c r="DI5" s="13">
        <f t="shared" si="9"/>
        <v>2026</v>
      </c>
      <c r="DJ5" s="13">
        <f t="shared" si="9"/>
        <v>2027</v>
      </c>
      <c r="DK5" s="13">
        <f t="shared" si="9"/>
        <v>2028</v>
      </c>
      <c r="DL5" s="13">
        <f t="shared" si="9"/>
        <v>2029</v>
      </c>
      <c r="DM5" s="13">
        <f t="shared" si="9"/>
        <v>2030</v>
      </c>
      <c r="DN5" s="13">
        <f t="shared" si="9"/>
        <v>2031</v>
      </c>
      <c r="DP5" s="13">
        <v>2022</v>
      </c>
      <c r="DQ5" s="13">
        <f>DP5+1</f>
        <v>2023</v>
      </c>
      <c r="DR5" s="13">
        <f t="shared" ref="DR5:DY5" si="10">DQ5+1</f>
        <v>2024</v>
      </c>
      <c r="DS5" s="13">
        <f t="shared" si="10"/>
        <v>2025</v>
      </c>
      <c r="DT5" s="13">
        <f t="shared" si="10"/>
        <v>2026</v>
      </c>
      <c r="DU5" s="13">
        <f t="shared" si="10"/>
        <v>2027</v>
      </c>
      <c r="DV5" s="13">
        <f t="shared" si="10"/>
        <v>2028</v>
      </c>
      <c r="DW5" s="13">
        <f t="shared" si="10"/>
        <v>2029</v>
      </c>
      <c r="DX5" s="13">
        <f t="shared" si="10"/>
        <v>2030</v>
      </c>
      <c r="DY5" s="13">
        <f t="shared" si="10"/>
        <v>2031</v>
      </c>
      <c r="EA5" s="13">
        <v>2022</v>
      </c>
      <c r="EB5" s="13">
        <f>EA5+1</f>
        <v>2023</v>
      </c>
      <c r="EC5" s="13">
        <f t="shared" ref="EC5:EJ5" si="11">EB5+1</f>
        <v>2024</v>
      </c>
      <c r="ED5" s="13">
        <f t="shared" si="11"/>
        <v>2025</v>
      </c>
      <c r="EE5" s="13">
        <f t="shared" si="11"/>
        <v>2026</v>
      </c>
      <c r="EF5" s="13">
        <f t="shared" si="11"/>
        <v>2027</v>
      </c>
      <c r="EG5" s="13">
        <f t="shared" si="11"/>
        <v>2028</v>
      </c>
      <c r="EH5" s="13">
        <f t="shared" si="11"/>
        <v>2029</v>
      </c>
      <c r="EI5" s="13">
        <f t="shared" si="11"/>
        <v>2030</v>
      </c>
      <c r="EJ5" s="13">
        <f t="shared" si="11"/>
        <v>2031</v>
      </c>
      <c r="EL5" s="13">
        <v>2022</v>
      </c>
      <c r="EM5" s="13">
        <f>EL5+1</f>
        <v>2023</v>
      </c>
      <c r="EN5" s="13">
        <f t="shared" ref="EN5:EU5" si="12">EM5+1</f>
        <v>2024</v>
      </c>
      <c r="EO5" s="13">
        <f t="shared" si="12"/>
        <v>2025</v>
      </c>
      <c r="EP5" s="13">
        <f t="shared" si="12"/>
        <v>2026</v>
      </c>
      <c r="EQ5" s="13">
        <f t="shared" si="12"/>
        <v>2027</v>
      </c>
      <c r="ER5" s="13">
        <f t="shared" si="12"/>
        <v>2028</v>
      </c>
      <c r="ES5" s="13">
        <f t="shared" si="12"/>
        <v>2029</v>
      </c>
      <c r="ET5" s="13">
        <f t="shared" si="12"/>
        <v>2030</v>
      </c>
      <c r="EU5" s="13">
        <f t="shared" si="12"/>
        <v>2031</v>
      </c>
      <c r="EW5" s="13">
        <v>2022</v>
      </c>
      <c r="EX5" s="13">
        <f>EW5+1</f>
        <v>2023</v>
      </c>
      <c r="EY5" s="13">
        <f t="shared" ref="EY5:FF5" si="13">EX5+1</f>
        <v>2024</v>
      </c>
      <c r="EZ5" s="13">
        <f t="shared" si="13"/>
        <v>2025</v>
      </c>
      <c r="FA5" s="13">
        <f t="shared" si="13"/>
        <v>2026</v>
      </c>
      <c r="FB5" s="13">
        <f t="shared" si="13"/>
        <v>2027</v>
      </c>
      <c r="FC5" s="13">
        <f t="shared" si="13"/>
        <v>2028</v>
      </c>
      <c r="FD5" s="13">
        <f t="shared" si="13"/>
        <v>2029</v>
      </c>
      <c r="FE5" s="13">
        <f t="shared" si="13"/>
        <v>2030</v>
      </c>
      <c r="FF5" s="13">
        <f t="shared" si="13"/>
        <v>2031</v>
      </c>
      <c r="FH5" s="13">
        <v>2022</v>
      </c>
      <c r="FI5" s="13">
        <f>FH5+1</f>
        <v>2023</v>
      </c>
      <c r="FJ5" s="13">
        <f t="shared" ref="FJ5:FQ5" si="14">FI5+1</f>
        <v>2024</v>
      </c>
      <c r="FK5" s="13">
        <f t="shared" si="14"/>
        <v>2025</v>
      </c>
      <c r="FL5" s="13">
        <f t="shared" si="14"/>
        <v>2026</v>
      </c>
      <c r="FM5" s="13">
        <f t="shared" si="14"/>
        <v>2027</v>
      </c>
      <c r="FN5" s="13">
        <f t="shared" si="14"/>
        <v>2028</v>
      </c>
      <c r="FO5" s="13">
        <f t="shared" si="14"/>
        <v>2029</v>
      </c>
      <c r="FP5" s="13">
        <f t="shared" si="14"/>
        <v>2030</v>
      </c>
      <c r="FQ5" s="13">
        <f t="shared" si="14"/>
        <v>2031</v>
      </c>
      <c r="FS5" s="13">
        <v>2022</v>
      </c>
      <c r="FT5" s="13">
        <f>FS5+1</f>
        <v>2023</v>
      </c>
      <c r="FU5" s="13">
        <f t="shared" ref="FU5:GB5" si="15">FT5+1</f>
        <v>2024</v>
      </c>
      <c r="FV5" s="13">
        <f t="shared" si="15"/>
        <v>2025</v>
      </c>
      <c r="FW5" s="13">
        <f t="shared" si="15"/>
        <v>2026</v>
      </c>
      <c r="FX5" s="13">
        <f t="shared" si="15"/>
        <v>2027</v>
      </c>
      <c r="FY5" s="13">
        <f t="shared" si="15"/>
        <v>2028</v>
      </c>
      <c r="FZ5" s="13">
        <f t="shared" si="15"/>
        <v>2029</v>
      </c>
      <c r="GA5" s="13">
        <f t="shared" si="15"/>
        <v>2030</v>
      </c>
      <c r="GB5" s="13">
        <f t="shared" si="15"/>
        <v>2031</v>
      </c>
    </row>
    <row r="6" spans="1:185" ht="3.75" customHeight="1">
      <c r="B6" s="100"/>
      <c r="C6" s="100"/>
      <c r="D6" s="100"/>
      <c r="H6" s="100"/>
    </row>
    <row r="7" spans="1:185" ht="13.5">
      <c r="B7" s="454" t="s">
        <v>135</v>
      </c>
      <c r="C7" s="454"/>
      <c r="D7" s="454" t="s">
        <v>136</v>
      </c>
      <c r="E7" s="142" t="s">
        <v>137</v>
      </c>
      <c r="F7" s="142" t="s">
        <v>138</v>
      </c>
      <c r="G7" s="142" t="s">
        <v>139</v>
      </c>
      <c r="H7" s="142" t="s">
        <v>140</v>
      </c>
      <c r="J7" s="157" t="s">
        <v>141</v>
      </c>
      <c r="K7" s="158"/>
      <c r="L7" s="158"/>
      <c r="M7" s="158"/>
      <c r="N7" s="158"/>
      <c r="O7" s="158"/>
      <c r="P7" s="158"/>
      <c r="Q7" s="158"/>
      <c r="R7" s="158"/>
      <c r="S7" s="158"/>
      <c r="U7" s="157" t="s">
        <v>142</v>
      </c>
      <c r="V7" s="158"/>
      <c r="W7" s="158"/>
      <c r="X7" s="158"/>
      <c r="Y7" s="158"/>
      <c r="Z7" s="158"/>
      <c r="AA7" s="158"/>
      <c r="AB7" s="158"/>
      <c r="AC7" s="158"/>
      <c r="AD7" s="158"/>
      <c r="AF7" s="157" t="s">
        <v>143</v>
      </c>
      <c r="AG7" s="158"/>
      <c r="AH7" s="158"/>
      <c r="AI7" s="158"/>
      <c r="AJ7" s="158"/>
      <c r="AK7" s="158"/>
      <c r="AL7" s="158"/>
      <c r="AM7" s="158"/>
      <c r="AN7" s="158"/>
      <c r="AO7" s="158"/>
      <c r="AQ7" s="157" t="s">
        <v>144</v>
      </c>
      <c r="AR7" s="158"/>
      <c r="AS7" s="158"/>
      <c r="AT7" s="158"/>
      <c r="AU7" s="158"/>
      <c r="AV7" s="158"/>
      <c r="AW7" s="158"/>
      <c r="AX7" s="158"/>
      <c r="AY7" s="158"/>
      <c r="AZ7" s="158"/>
      <c r="BB7" s="157" t="s">
        <v>145</v>
      </c>
      <c r="BC7" s="158"/>
      <c r="BD7" s="158"/>
      <c r="BE7" s="158"/>
      <c r="BF7" s="158"/>
      <c r="BG7" s="158"/>
      <c r="BH7" s="158"/>
      <c r="BI7" s="158"/>
      <c r="BJ7" s="158"/>
      <c r="BK7" s="158"/>
      <c r="BM7" s="143" t="s">
        <v>120</v>
      </c>
      <c r="BN7" s="144"/>
      <c r="BO7" s="144"/>
      <c r="BP7" s="144"/>
      <c r="BQ7" s="144"/>
      <c r="BR7" s="144"/>
      <c r="BS7" s="144"/>
      <c r="BT7" s="144"/>
      <c r="BU7" s="144"/>
      <c r="BV7" s="144"/>
      <c r="BX7" s="162" t="s">
        <v>146</v>
      </c>
      <c r="BY7" s="163"/>
      <c r="BZ7" s="163"/>
      <c r="CA7" s="163"/>
      <c r="CB7" s="163"/>
      <c r="CC7" s="163"/>
      <c r="CD7" s="163"/>
      <c r="CE7" s="163"/>
      <c r="CF7" s="163"/>
      <c r="CG7" s="163"/>
      <c r="CI7" s="145" t="s">
        <v>147</v>
      </c>
      <c r="CJ7" s="145"/>
      <c r="CK7" s="145"/>
      <c r="CL7" s="145"/>
      <c r="CM7" s="145"/>
      <c r="CN7" s="145"/>
      <c r="CO7" s="145"/>
      <c r="CP7" s="145"/>
      <c r="CQ7" s="145"/>
      <c r="CR7" s="145"/>
      <c r="CT7" s="157" t="s">
        <v>148</v>
      </c>
      <c r="CU7" s="158"/>
      <c r="CV7" s="158"/>
      <c r="CW7" s="158"/>
      <c r="CX7" s="158"/>
      <c r="CY7" s="158"/>
      <c r="CZ7" s="158"/>
      <c r="DA7" s="158"/>
      <c r="DB7" s="158"/>
      <c r="DC7" s="158"/>
      <c r="DE7" s="143" t="s">
        <v>149</v>
      </c>
      <c r="DF7" s="144"/>
      <c r="DG7" s="144"/>
      <c r="DH7" s="144"/>
      <c r="DI7" s="144"/>
      <c r="DJ7" s="144"/>
      <c r="DK7" s="144"/>
      <c r="DL7" s="144"/>
      <c r="DM7" s="144"/>
      <c r="DN7" s="144"/>
      <c r="DP7" s="145" t="s">
        <v>150</v>
      </c>
      <c r="DQ7" s="146"/>
      <c r="DR7" s="146"/>
      <c r="DS7" s="146"/>
      <c r="DT7" s="146"/>
      <c r="DU7" s="146"/>
      <c r="DV7" s="146"/>
      <c r="DW7" s="146"/>
      <c r="DX7" s="146"/>
      <c r="DY7" s="146"/>
      <c r="EA7" s="143" t="s">
        <v>66</v>
      </c>
      <c r="EB7" s="144"/>
      <c r="EC7" s="144"/>
      <c r="ED7" s="144"/>
      <c r="EE7" s="144"/>
      <c r="EF7" s="144"/>
      <c r="EG7" s="144"/>
      <c r="EH7" s="144"/>
      <c r="EI7" s="144"/>
      <c r="EJ7" s="144"/>
      <c r="EL7" s="147" t="s">
        <v>151</v>
      </c>
      <c r="EM7" s="148"/>
      <c r="EN7" s="148"/>
      <c r="EO7" s="148"/>
      <c r="EP7" s="148"/>
      <c r="EQ7" s="148"/>
      <c r="ER7" s="148"/>
      <c r="ES7" s="148"/>
      <c r="ET7" s="148"/>
      <c r="EU7" s="148"/>
      <c r="EW7" s="147" t="s">
        <v>152</v>
      </c>
      <c r="EX7" s="148"/>
      <c r="EY7" s="148"/>
      <c r="EZ7" s="148"/>
      <c r="FA7" s="148"/>
      <c r="FB7" s="148"/>
      <c r="FC7" s="148"/>
      <c r="FD7" s="148"/>
      <c r="FE7" s="148"/>
      <c r="FF7" s="148"/>
      <c r="FH7" s="147" t="s">
        <v>153</v>
      </c>
      <c r="FI7" s="148"/>
      <c r="FJ7" s="148"/>
      <c r="FK7" s="148"/>
      <c r="FL7" s="148"/>
      <c r="FM7" s="148"/>
      <c r="FN7" s="148"/>
      <c r="FO7" s="148"/>
      <c r="FP7" s="148"/>
      <c r="FQ7" s="148"/>
      <c r="FS7" s="149" t="s">
        <v>77</v>
      </c>
      <c r="FT7" s="150"/>
      <c r="FU7" s="150"/>
      <c r="FV7" s="150"/>
      <c r="FW7" s="150"/>
      <c r="FX7" s="150"/>
      <c r="FY7" s="150"/>
      <c r="FZ7" s="150"/>
      <c r="GA7" s="150"/>
      <c r="GB7" s="150"/>
    </row>
    <row r="8" spans="1:185" ht="13.5">
      <c r="B8" s="124" t="s">
        <v>154</v>
      </c>
      <c r="C8" s="124" t="s">
        <v>155</v>
      </c>
      <c r="D8" s="124" t="s">
        <v>123</v>
      </c>
      <c r="E8" s="151">
        <v>0.02</v>
      </c>
      <c r="F8" s="170">
        <f>(16/16)</f>
        <v>1</v>
      </c>
      <c r="G8" s="151">
        <v>1</v>
      </c>
      <c r="H8" s="124" t="s">
        <v>156</v>
      </c>
      <c r="J8" s="125"/>
      <c r="K8" s="125">
        <v>0</v>
      </c>
      <c r="L8" s="125">
        <v>0</v>
      </c>
      <c r="M8" s="125">
        <v>0</v>
      </c>
      <c r="N8" s="125">
        <v>0</v>
      </c>
      <c r="O8" s="125">
        <v>0</v>
      </c>
      <c r="P8" s="125">
        <v>0</v>
      </c>
      <c r="Q8" s="125">
        <v>0</v>
      </c>
      <c r="R8" s="125">
        <v>0</v>
      </c>
      <c r="S8" s="125">
        <v>0</v>
      </c>
      <c r="U8" s="125"/>
      <c r="V8" s="125"/>
      <c r="W8" s="125"/>
      <c r="X8" s="125"/>
      <c r="Y8" s="125"/>
      <c r="Z8" s="125"/>
      <c r="AA8" s="125"/>
      <c r="AB8" s="125"/>
      <c r="AC8" s="125"/>
      <c r="AD8" s="125"/>
      <c r="AF8" s="164"/>
      <c r="AG8" s="164">
        <v>0.75</v>
      </c>
      <c r="AH8" s="164">
        <v>0.75</v>
      </c>
      <c r="AI8" s="164">
        <v>0.75</v>
      </c>
      <c r="AJ8" s="164">
        <v>0.75</v>
      </c>
      <c r="AK8" s="164"/>
      <c r="AL8" s="164"/>
      <c r="AM8" s="164"/>
      <c r="AN8" s="164"/>
      <c r="AO8" s="164"/>
      <c r="AQ8" s="125"/>
      <c r="AR8" s="125">
        <v>0</v>
      </c>
      <c r="AS8" s="125">
        <v>0</v>
      </c>
      <c r="AT8" s="125">
        <v>3000</v>
      </c>
      <c r="AU8" s="125">
        <v>3000</v>
      </c>
      <c r="AV8" s="125"/>
      <c r="AW8" s="125"/>
      <c r="AX8" s="125"/>
      <c r="AY8" s="125"/>
      <c r="AZ8" s="125"/>
      <c r="BB8" s="125"/>
      <c r="BC8" s="125"/>
      <c r="BD8" s="125"/>
      <c r="BE8" s="125"/>
      <c r="BF8" s="125"/>
      <c r="BG8" s="125"/>
      <c r="BH8" s="125"/>
      <c r="BI8" s="125"/>
      <c r="BJ8" s="125"/>
      <c r="BK8" s="125"/>
      <c r="BM8" s="125"/>
      <c r="BN8" s="125">
        <f t="shared" ref="BN8:BV18" si="16">(K8*V8*AG8*AR8*BC8)/1000</f>
        <v>0</v>
      </c>
      <c r="BO8" s="125">
        <f t="shared" si="16"/>
        <v>0</v>
      </c>
      <c r="BP8" s="125">
        <f t="shared" si="16"/>
        <v>0</v>
      </c>
      <c r="BQ8" s="125">
        <f t="shared" si="16"/>
        <v>0</v>
      </c>
      <c r="BR8" s="125">
        <f t="shared" si="16"/>
        <v>0</v>
      </c>
      <c r="BS8" s="125">
        <f t="shared" si="16"/>
        <v>0</v>
      </c>
      <c r="BT8" s="125">
        <f t="shared" si="16"/>
        <v>0</v>
      </c>
      <c r="BU8" s="125">
        <f t="shared" si="16"/>
        <v>0</v>
      </c>
      <c r="BV8" s="125">
        <f t="shared" si="16"/>
        <v>0</v>
      </c>
      <c r="BX8" s="159"/>
      <c r="BY8" s="159"/>
      <c r="BZ8" s="159"/>
      <c r="CA8" s="159"/>
      <c r="CB8" s="159"/>
      <c r="CC8" s="159"/>
      <c r="CD8" s="159"/>
      <c r="CE8" s="159"/>
      <c r="CF8" s="159"/>
      <c r="CG8" s="159"/>
      <c r="CI8" s="128"/>
      <c r="CJ8" s="128">
        <f t="shared" ref="CJ8:CL18" si="17">+BY8*BN8</f>
        <v>0</v>
      </c>
      <c r="CK8" s="128">
        <f t="shared" si="17"/>
        <v>0</v>
      </c>
      <c r="CL8" s="128">
        <f t="shared" si="17"/>
        <v>0</v>
      </c>
      <c r="CM8" s="128"/>
      <c r="CN8" s="128"/>
      <c r="CO8" s="128"/>
      <c r="CP8" s="128"/>
      <c r="CQ8" s="128"/>
      <c r="CR8" s="128"/>
      <c r="CT8" s="168"/>
      <c r="CU8" s="168"/>
      <c r="CV8" s="168"/>
      <c r="CW8" s="168"/>
      <c r="CX8" s="168"/>
      <c r="CY8" s="168"/>
      <c r="CZ8" s="168"/>
      <c r="DA8" s="168"/>
      <c r="DB8" s="168"/>
      <c r="DC8" s="168"/>
      <c r="DE8" s="128">
        <f t="shared" ref="DE8" si="18">-CI8*CT8</f>
        <v>0</v>
      </c>
      <c r="DF8" s="128">
        <f t="shared" ref="DF8:DF25" si="19">-CJ8*CU8</f>
        <v>0</v>
      </c>
      <c r="DG8" s="128">
        <f t="shared" ref="DG8:DG25" si="20">-CK8*CV8</f>
        <v>0</v>
      </c>
      <c r="DH8" s="128">
        <f t="shared" ref="DH8:DH25" si="21">-CL8*CW8</f>
        <v>0</v>
      </c>
      <c r="DI8" s="128">
        <f t="shared" ref="DI8:DI25" si="22">-CM8*CX8</f>
        <v>0</v>
      </c>
      <c r="DJ8" s="128">
        <f t="shared" ref="DJ8:DJ25" si="23">-CN8*CY8</f>
        <v>0</v>
      </c>
      <c r="DK8" s="128">
        <f t="shared" ref="DK8:DK25" si="24">-CO8*CZ8</f>
        <v>0</v>
      </c>
      <c r="DL8" s="128">
        <f t="shared" ref="DL8:DL25" si="25">-CP8*DA8</f>
        <v>0</v>
      </c>
      <c r="DM8" s="128">
        <f t="shared" ref="DM8:DM25" si="26">-CQ8*DB8</f>
        <v>0</v>
      </c>
      <c r="DN8" s="128">
        <f t="shared" ref="DN8:DN25" si="27">-CR8*DC8</f>
        <v>0</v>
      </c>
      <c r="DP8" s="128"/>
      <c r="DQ8" s="128"/>
      <c r="DR8" s="128"/>
      <c r="DS8" s="128"/>
      <c r="DT8" s="128"/>
      <c r="DU8" s="128"/>
      <c r="DV8" s="128"/>
      <c r="DW8" s="128"/>
      <c r="DX8" s="128"/>
      <c r="DY8" s="128"/>
      <c r="EA8" s="128">
        <f t="shared" ref="EA8" si="28">CI8+DE8+DP8</f>
        <v>0</v>
      </c>
      <c r="EB8" s="128">
        <f t="shared" ref="EB8:EB43" si="29">CJ8+DF8+DQ8</f>
        <v>0</v>
      </c>
      <c r="EC8" s="128">
        <f t="shared" ref="EC8:EC43" si="30">CK8+DG8+DR8</f>
        <v>0</v>
      </c>
      <c r="ED8" s="128">
        <f t="shared" ref="ED8:ED43" si="31">CL8+DH8+DS8</f>
        <v>0</v>
      </c>
      <c r="EE8" s="128">
        <f t="shared" ref="EE8:EE43" si="32">CM8+DI8+DT8</f>
        <v>0</v>
      </c>
      <c r="EF8" s="128">
        <f t="shared" ref="EF8:EF43" si="33">CN8+DJ8+DU8</f>
        <v>0</v>
      </c>
      <c r="EG8" s="128">
        <f t="shared" ref="EG8:EG43" si="34">CO8+DK8+DV8</f>
        <v>0</v>
      </c>
      <c r="EH8" s="128">
        <f t="shared" ref="EH8:EH43" si="35">CP8+DL8+DW8</f>
        <v>0</v>
      </c>
      <c r="EI8" s="128">
        <f t="shared" ref="EI8:EI43" si="36">CQ8+DM8+DX8</f>
        <v>0</v>
      </c>
      <c r="EJ8" s="128">
        <f t="shared" ref="EJ8:EJ43" si="37">CR8+DN8+DY8</f>
        <v>0</v>
      </c>
      <c r="EL8" s="125"/>
      <c r="EM8" s="125"/>
      <c r="EN8" s="125"/>
      <c r="EO8" s="125"/>
      <c r="EP8" s="125"/>
      <c r="EQ8" s="125"/>
      <c r="ER8" s="125"/>
      <c r="ES8" s="125"/>
      <c r="ET8" s="125"/>
      <c r="EU8" s="125"/>
      <c r="EW8" s="127">
        <f t="shared" ref="EW8" si="38">IFERROR(EL8/EL$44, 0)</f>
        <v>0</v>
      </c>
      <c r="EX8" s="127">
        <f t="shared" ref="EX8:EX43" si="39">IFERROR(EM8/EM$44, 0)</f>
        <v>0</v>
      </c>
      <c r="EY8" s="127">
        <f t="shared" ref="EY8:EY43" si="40">IFERROR(EN8/EN$44, 0)</f>
        <v>0</v>
      </c>
      <c r="EZ8" s="127">
        <f t="shared" ref="EZ8:EZ43" si="41">IFERROR(EO8/EO$44, 0)</f>
        <v>0</v>
      </c>
      <c r="FA8" s="127">
        <f t="shared" ref="FA8:FA43" si="42">IFERROR(EP8/EP$44, 0)</f>
        <v>0</v>
      </c>
      <c r="FB8" s="127">
        <f t="shared" ref="FB8:FB43" si="43">IFERROR(EQ8/EQ$44, 0)</f>
        <v>0</v>
      </c>
      <c r="FC8" s="127">
        <f t="shared" ref="FC8:FC43" si="44">IFERROR(ER8/ER$44, 0)</f>
        <v>0</v>
      </c>
      <c r="FD8" s="127">
        <f t="shared" ref="FD8:FD43" si="45">IFERROR(ES8/ES$44, 0)</f>
        <v>0</v>
      </c>
      <c r="FE8" s="127">
        <f t="shared" ref="FE8:FE43" si="46">IFERROR(ET8/ET$44, 0)</f>
        <v>0</v>
      </c>
      <c r="FF8" s="127">
        <f t="shared" ref="FF8:FF43" si="47">IFERROR(EU8/EU$44, 0)</f>
        <v>0</v>
      </c>
      <c r="FH8" s="127"/>
      <c r="FI8" s="127"/>
      <c r="FJ8" s="127"/>
      <c r="FK8" s="127"/>
      <c r="FL8" s="127"/>
      <c r="FM8" s="127"/>
      <c r="FN8" s="127"/>
      <c r="FO8" s="127"/>
      <c r="FP8" s="127"/>
      <c r="FQ8" s="127"/>
      <c r="FS8" s="128">
        <f t="shared" ref="FS8" si="48">EA8*(1-FH8)</f>
        <v>0</v>
      </c>
      <c r="FT8" s="128">
        <f t="shared" ref="FT8:FT43" si="49">EB8*(1-FI8)</f>
        <v>0</v>
      </c>
      <c r="FU8" s="128">
        <f t="shared" ref="FU8:FU43" si="50">EC8*(1-FJ8)</f>
        <v>0</v>
      </c>
      <c r="FV8" s="128">
        <f t="shared" ref="FV8:FV43" si="51">ED8*(1-FK8)</f>
        <v>0</v>
      </c>
      <c r="FW8" s="128">
        <f t="shared" ref="FW8:FW43" si="52">EE8*(1-FL8)</f>
        <v>0</v>
      </c>
      <c r="FX8" s="128">
        <f t="shared" ref="FX8:FX43" si="53">EF8*(1-FM8)</f>
        <v>0</v>
      </c>
      <c r="FY8" s="128">
        <f t="shared" ref="FY8:FY43" si="54">EG8*(1-FN8)</f>
        <v>0</v>
      </c>
      <c r="FZ8" s="128">
        <f t="shared" ref="FZ8:FZ43" si="55">EH8*(1-FO8)</f>
        <v>0</v>
      </c>
      <c r="GA8" s="128">
        <f t="shared" ref="GA8:GA43" si="56">EI8*(1-FP8)</f>
        <v>0</v>
      </c>
      <c r="GB8" s="128">
        <f t="shared" ref="GB8:GB43" si="57">EJ8*(1-FQ8)</f>
        <v>0</v>
      </c>
    </row>
    <row r="9" spans="1:185" ht="13.5">
      <c r="B9" s="19" t="s">
        <v>159</v>
      </c>
      <c r="C9" s="124" t="s">
        <v>155</v>
      </c>
      <c r="D9" s="19" t="s">
        <v>124</v>
      </c>
      <c r="E9" s="151"/>
      <c r="F9" s="170"/>
      <c r="G9" s="151"/>
      <c r="H9" s="124"/>
      <c r="J9" s="152"/>
      <c r="K9" s="152">
        <v>0</v>
      </c>
      <c r="L9" s="125">
        <v>0</v>
      </c>
      <c r="M9" s="125">
        <v>0</v>
      </c>
      <c r="N9" s="125"/>
      <c r="O9" s="125"/>
      <c r="P9" s="125"/>
      <c r="Q9" s="125"/>
      <c r="R9" s="125"/>
      <c r="S9" s="125"/>
      <c r="U9" s="152"/>
      <c r="V9" s="152"/>
      <c r="W9" s="152"/>
      <c r="X9" s="125"/>
      <c r="Y9" s="125"/>
      <c r="Z9" s="125"/>
      <c r="AA9" s="125"/>
      <c r="AB9" s="125"/>
      <c r="AC9" s="125"/>
      <c r="AD9" s="125"/>
      <c r="AF9" s="165"/>
      <c r="AG9" s="165">
        <v>0.5</v>
      </c>
      <c r="AH9" s="165">
        <v>0.6</v>
      </c>
      <c r="AI9" s="165">
        <v>0.7</v>
      </c>
      <c r="AJ9" s="165">
        <v>0.75</v>
      </c>
      <c r="AK9" s="165"/>
      <c r="AL9" s="165"/>
      <c r="AM9" s="165"/>
      <c r="AN9" s="165"/>
      <c r="AO9" s="165"/>
      <c r="AQ9" s="152"/>
      <c r="AR9" s="152">
        <v>100</v>
      </c>
      <c r="AS9" s="152">
        <v>100</v>
      </c>
      <c r="AT9" s="152">
        <v>100</v>
      </c>
      <c r="AU9" s="152">
        <v>100</v>
      </c>
      <c r="AV9" s="152"/>
      <c r="AW9" s="152"/>
      <c r="AX9" s="152"/>
      <c r="AY9" s="152"/>
      <c r="AZ9" s="152"/>
      <c r="BB9" s="152"/>
      <c r="BC9" s="152"/>
      <c r="BD9" s="152"/>
      <c r="BE9" s="152"/>
      <c r="BF9" s="152"/>
      <c r="BG9" s="152"/>
      <c r="BH9" s="152"/>
      <c r="BI9" s="152"/>
      <c r="BJ9" s="152"/>
      <c r="BK9" s="152"/>
      <c r="BM9" s="152"/>
      <c r="BN9" s="152">
        <f t="shared" si="16"/>
        <v>0</v>
      </c>
      <c r="BO9" s="152">
        <f t="shared" si="16"/>
        <v>0</v>
      </c>
      <c r="BP9" s="152">
        <f t="shared" si="16"/>
        <v>0</v>
      </c>
      <c r="BQ9" s="152">
        <f t="shared" si="16"/>
        <v>0</v>
      </c>
      <c r="BR9" s="152">
        <f t="shared" si="16"/>
        <v>0</v>
      </c>
      <c r="BS9" s="152">
        <f t="shared" si="16"/>
        <v>0</v>
      </c>
      <c r="BT9" s="152">
        <f t="shared" si="16"/>
        <v>0</v>
      </c>
      <c r="BU9" s="152">
        <f t="shared" si="16"/>
        <v>0</v>
      </c>
      <c r="BV9" s="152">
        <f t="shared" si="16"/>
        <v>0</v>
      </c>
      <c r="BX9" s="160"/>
      <c r="BY9" s="159"/>
      <c r="BZ9" s="159"/>
      <c r="CA9" s="159"/>
      <c r="CB9" s="159"/>
      <c r="CC9" s="159"/>
      <c r="CD9" s="159"/>
      <c r="CE9" s="159"/>
      <c r="CF9" s="159"/>
      <c r="CG9" s="159"/>
      <c r="CI9" s="128"/>
      <c r="CJ9" s="128">
        <f t="shared" si="17"/>
        <v>0</v>
      </c>
      <c r="CK9" s="128">
        <f t="shared" si="17"/>
        <v>0</v>
      </c>
      <c r="CL9" s="128">
        <f t="shared" si="17"/>
        <v>0</v>
      </c>
      <c r="CM9" s="128"/>
      <c r="CN9" s="128"/>
      <c r="CO9" s="128"/>
      <c r="CP9" s="128"/>
      <c r="CQ9" s="128"/>
      <c r="CR9" s="128"/>
      <c r="CT9" s="168"/>
      <c r="CU9" s="168"/>
      <c r="CV9" s="168"/>
      <c r="CW9" s="168"/>
      <c r="CX9" s="168"/>
      <c r="CY9" s="168"/>
      <c r="CZ9" s="168"/>
      <c r="DA9" s="168"/>
      <c r="DB9" s="168"/>
      <c r="DC9" s="168"/>
      <c r="DE9" s="20">
        <f t="shared" ref="DE9:DE25" si="58">-CI9*CT9</f>
        <v>0</v>
      </c>
      <c r="DF9" s="128">
        <f t="shared" si="19"/>
        <v>0</v>
      </c>
      <c r="DG9" s="20">
        <f t="shared" si="20"/>
        <v>0</v>
      </c>
      <c r="DH9" s="20">
        <f t="shared" si="21"/>
        <v>0</v>
      </c>
      <c r="DI9" s="20">
        <f t="shared" si="22"/>
        <v>0</v>
      </c>
      <c r="DJ9" s="20">
        <f t="shared" si="23"/>
        <v>0</v>
      </c>
      <c r="DK9" s="20">
        <f t="shared" si="24"/>
        <v>0</v>
      </c>
      <c r="DL9" s="20">
        <f t="shared" si="25"/>
        <v>0</v>
      </c>
      <c r="DM9" s="20">
        <f t="shared" si="26"/>
        <v>0</v>
      </c>
      <c r="DN9" s="20">
        <f t="shared" si="27"/>
        <v>0</v>
      </c>
      <c r="DP9" s="20"/>
      <c r="DQ9" s="20"/>
      <c r="DR9" s="20"/>
      <c r="DS9" s="20"/>
      <c r="DT9" s="20"/>
      <c r="DU9" s="20"/>
      <c r="DV9" s="20"/>
      <c r="DW9" s="20"/>
      <c r="DX9" s="20"/>
      <c r="DY9" s="20"/>
      <c r="EA9" s="20">
        <f t="shared" ref="EA9:EA43" si="59">CI9+DE9+DP9</f>
        <v>0</v>
      </c>
      <c r="EB9" s="20">
        <f t="shared" si="29"/>
        <v>0</v>
      </c>
      <c r="EC9" s="20">
        <f t="shared" si="30"/>
        <v>0</v>
      </c>
      <c r="ED9" s="20">
        <f t="shared" si="31"/>
        <v>0</v>
      </c>
      <c r="EE9" s="20">
        <f t="shared" si="32"/>
        <v>0</v>
      </c>
      <c r="EF9" s="20">
        <f t="shared" si="33"/>
        <v>0</v>
      </c>
      <c r="EG9" s="20">
        <f t="shared" si="34"/>
        <v>0</v>
      </c>
      <c r="EH9" s="20">
        <f t="shared" si="35"/>
        <v>0</v>
      </c>
      <c r="EI9" s="20">
        <f t="shared" si="36"/>
        <v>0</v>
      </c>
      <c r="EJ9" s="20">
        <f t="shared" si="37"/>
        <v>0</v>
      </c>
      <c r="EL9" s="125"/>
      <c r="EM9" s="125"/>
      <c r="EN9" s="125"/>
      <c r="EO9" s="125"/>
      <c r="EP9" s="125"/>
      <c r="EQ9" s="125"/>
      <c r="ER9" s="125"/>
      <c r="ES9" s="125"/>
      <c r="ET9" s="125"/>
      <c r="EU9" s="125"/>
      <c r="EW9" s="127">
        <f t="shared" ref="EW9:EW43" si="60">IFERROR(EL9/EL$44, 0)</f>
        <v>0</v>
      </c>
      <c r="EX9" s="127">
        <f t="shared" si="39"/>
        <v>0</v>
      </c>
      <c r="EY9" s="127">
        <f t="shared" si="40"/>
        <v>0</v>
      </c>
      <c r="EZ9" s="127">
        <f t="shared" si="41"/>
        <v>0</v>
      </c>
      <c r="FA9" s="127">
        <f t="shared" si="42"/>
        <v>0</v>
      </c>
      <c r="FB9" s="127">
        <f t="shared" si="43"/>
        <v>0</v>
      </c>
      <c r="FC9" s="127">
        <f t="shared" si="44"/>
        <v>0</v>
      </c>
      <c r="FD9" s="127">
        <f t="shared" si="45"/>
        <v>0</v>
      </c>
      <c r="FE9" s="127">
        <f t="shared" si="46"/>
        <v>0</v>
      </c>
      <c r="FF9" s="127">
        <f t="shared" si="47"/>
        <v>0</v>
      </c>
      <c r="FH9" s="127"/>
      <c r="FI9" s="127"/>
      <c r="FJ9" s="127"/>
      <c r="FK9" s="127"/>
      <c r="FL9" s="127"/>
      <c r="FM9" s="127"/>
      <c r="FN9" s="127"/>
      <c r="FO9" s="127"/>
      <c r="FP9" s="127"/>
      <c r="FQ9" s="127"/>
      <c r="FS9" s="128">
        <f t="shared" ref="FS9:FS43" si="61">EA9*(1-FH9)</f>
        <v>0</v>
      </c>
      <c r="FT9" s="128">
        <f t="shared" si="49"/>
        <v>0</v>
      </c>
      <c r="FU9" s="128">
        <f t="shared" si="50"/>
        <v>0</v>
      </c>
      <c r="FV9" s="128">
        <f t="shared" si="51"/>
        <v>0</v>
      </c>
      <c r="FW9" s="128">
        <f t="shared" si="52"/>
        <v>0</v>
      </c>
      <c r="FX9" s="128">
        <f t="shared" si="53"/>
        <v>0</v>
      </c>
      <c r="FY9" s="128">
        <f t="shared" si="54"/>
        <v>0</v>
      </c>
      <c r="FZ9" s="128">
        <f t="shared" si="55"/>
        <v>0</v>
      </c>
      <c r="GA9" s="128">
        <f t="shared" si="56"/>
        <v>0</v>
      </c>
      <c r="GB9" s="128">
        <f t="shared" si="57"/>
        <v>0</v>
      </c>
    </row>
    <row r="10" spans="1:185" ht="13.5">
      <c r="B10" s="19" t="s">
        <v>159</v>
      </c>
      <c r="C10" s="124" t="s">
        <v>155</v>
      </c>
      <c r="D10" s="19" t="s">
        <v>125</v>
      </c>
      <c r="E10" s="153"/>
      <c r="F10" s="170"/>
      <c r="G10" s="151"/>
      <c r="H10" s="19"/>
      <c r="J10" s="152"/>
      <c r="K10" s="152">
        <v>38.047962573485982</v>
      </c>
      <c r="L10" s="125">
        <v>0</v>
      </c>
      <c r="M10" s="125">
        <v>0</v>
      </c>
      <c r="N10" s="125"/>
      <c r="O10" s="125"/>
      <c r="P10" s="125"/>
      <c r="Q10" s="125"/>
      <c r="R10" s="125"/>
      <c r="S10" s="125"/>
      <c r="U10" s="152"/>
      <c r="V10" s="152">
        <v>52</v>
      </c>
      <c r="W10" s="152">
        <v>52</v>
      </c>
      <c r="X10" s="125">
        <v>52</v>
      </c>
      <c r="Y10" s="125">
        <v>52</v>
      </c>
      <c r="Z10" s="125">
        <v>52</v>
      </c>
      <c r="AA10" s="125">
        <v>52</v>
      </c>
      <c r="AB10" s="125">
        <v>52</v>
      </c>
      <c r="AC10" s="125">
        <v>52</v>
      </c>
      <c r="AD10" s="125">
        <v>52</v>
      </c>
      <c r="AF10" s="165"/>
      <c r="AG10" s="165">
        <v>1</v>
      </c>
      <c r="AH10" s="165">
        <v>1</v>
      </c>
      <c r="AI10" s="165">
        <v>1</v>
      </c>
      <c r="AJ10" s="165">
        <v>1</v>
      </c>
      <c r="AK10" s="165">
        <v>1</v>
      </c>
      <c r="AL10" s="165">
        <v>1</v>
      </c>
      <c r="AM10" s="165">
        <v>1</v>
      </c>
      <c r="AN10" s="165">
        <v>1</v>
      </c>
      <c r="AO10" s="165">
        <v>1</v>
      </c>
      <c r="AQ10" s="152"/>
      <c r="AR10" s="152">
        <v>1</v>
      </c>
      <c r="AS10" s="152">
        <v>1</v>
      </c>
      <c r="AT10" s="152">
        <v>1</v>
      </c>
      <c r="AU10" s="152">
        <v>1</v>
      </c>
      <c r="AV10" s="152">
        <v>1</v>
      </c>
      <c r="AW10" s="152">
        <v>1</v>
      </c>
      <c r="AX10" s="152">
        <v>1</v>
      </c>
      <c r="AY10" s="152">
        <v>1</v>
      </c>
      <c r="AZ10" s="152">
        <v>1</v>
      </c>
      <c r="BB10" s="152"/>
      <c r="BC10" s="152">
        <v>3</v>
      </c>
      <c r="BD10" s="152">
        <v>3</v>
      </c>
      <c r="BE10" s="152">
        <v>3</v>
      </c>
      <c r="BF10" s="152">
        <v>3</v>
      </c>
      <c r="BG10" s="152">
        <v>3</v>
      </c>
      <c r="BH10" s="152">
        <v>3</v>
      </c>
      <c r="BI10" s="152">
        <v>3</v>
      </c>
      <c r="BJ10" s="152">
        <v>3</v>
      </c>
      <c r="BK10" s="152">
        <v>3</v>
      </c>
      <c r="BM10" s="152"/>
      <c r="BN10" s="152">
        <f t="shared" si="16"/>
        <v>5.9354821614638134</v>
      </c>
      <c r="BO10" s="152">
        <f t="shared" si="16"/>
        <v>0</v>
      </c>
      <c r="BP10" s="152">
        <f t="shared" si="16"/>
        <v>0</v>
      </c>
      <c r="BQ10" s="152">
        <f t="shared" si="16"/>
        <v>0</v>
      </c>
      <c r="BR10" s="152">
        <f t="shared" si="16"/>
        <v>0</v>
      </c>
      <c r="BS10" s="152">
        <f t="shared" si="16"/>
        <v>0</v>
      </c>
      <c r="BT10" s="152">
        <f t="shared" si="16"/>
        <v>0</v>
      </c>
      <c r="BU10" s="152">
        <f t="shared" si="16"/>
        <v>0</v>
      </c>
      <c r="BV10" s="152">
        <f t="shared" si="16"/>
        <v>0</v>
      </c>
      <c r="BX10" s="160"/>
      <c r="BY10" s="159">
        <v>25.608703027845277</v>
      </c>
      <c r="BZ10" s="159">
        <v>25.608703027845277</v>
      </c>
      <c r="CA10" s="159">
        <v>26.376964118680636</v>
      </c>
      <c r="CB10" s="159">
        <v>27.168273042241054</v>
      </c>
      <c r="CC10" s="159">
        <v>27.983321233508288</v>
      </c>
      <c r="CD10" s="159">
        <v>28.822820870513539</v>
      </c>
      <c r="CE10" s="159">
        <v>30.091024988816134</v>
      </c>
      <c r="CF10" s="159">
        <v>31.415030088324045</v>
      </c>
      <c r="CG10" s="159">
        <v>32.797291412210306</v>
      </c>
      <c r="CI10" s="128"/>
      <c r="CJ10" s="128">
        <f t="shared" si="17"/>
        <v>151.99999999999997</v>
      </c>
      <c r="CK10" s="128">
        <f t="shared" si="17"/>
        <v>0</v>
      </c>
      <c r="CL10" s="128">
        <f t="shared" si="17"/>
        <v>0</v>
      </c>
      <c r="CM10" s="128"/>
      <c r="CN10" s="128"/>
      <c r="CO10" s="128"/>
      <c r="CP10" s="128"/>
      <c r="CQ10" s="128"/>
      <c r="CR10" s="128"/>
      <c r="CT10" s="168"/>
      <c r="CU10" s="168">
        <v>0.22274324918181693</v>
      </c>
      <c r="CV10" s="168">
        <v>7.5907844504398594E-2</v>
      </c>
      <c r="CW10" s="168">
        <v>7.5907844504398594E-2</v>
      </c>
      <c r="CX10" s="168">
        <v>7.5907844504398594E-2</v>
      </c>
      <c r="CY10" s="168"/>
      <c r="CZ10" s="168"/>
      <c r="DA10" s="168"/>
      <c r="DB10" s="168"/>
      <c r="DC10" s="168"/>
      <c r="DE10" s="20">
        <f t="shared" si="58"/>
        <v>0</v>
      </c>
      <c r="DF10" s="128">
        <f t="shared" si="19"/>
        <v>-33.856973875636164</v>
      </c>
      <c r="DG10" s="20">
        <f t="shared" si="20"/>
        <v>0</v>
      </c>
      <c r="DH10" s="20">
        <f t="shared" si="21"/>
        <v>0</v>
      </c>
      <c r="DI10" s="20">
        <f t="shared" si="22"/>
        <v>0</v>
      </c>
      <c r="DJ10" s="20">
        <f t="shared" si="23"/>
        <v>0</v>
      </c>
      <c r="DK10" s="20">
        <f t="shared" si="24"/>
        <v>0</v>
      </c>
      <c r="DL10" s="20">
        <f t="shared" si="25"/>
        <v>0</v>
      </c>
      <c r="DM10" s="20">
        <f t="shared" si="26"/>
        <v>0</v>
      </c>
      <c r="DN10" s="20">
        <f t="shared" si="27"/>
        <v>0</v>
      </c>
      <c r="DP10" s="20"/>
      <c r="DQ10" s="20"/>
      <c r="DR10" s="20"/>
      <c r="DS10" s="20"/>
      <c r="DT10" s="20"/>
      <c r="DU10" s="20"/>
      <c r="DV10" s="20"/>
      <c r="DW10" s="20"/>
      <c r="DX10" s="20"/>
      <c r="DY10" s="20"/>
      <c r="EA10" s="20">
        <f t="shared" si="59"/>
        <v>0</v>
      </c>
      <c r="EB10" s="20">
        <f t="shared" si="29"/>
        <v>118.14302612436381</v>
      </c>
      <c r="EC10" s="20">
        <f t="shared" si="30"/>
        <v>0</v>
      </c>
      <c r="ED10" s="20">
        <f t="shared" si="31"/>
        <v>0</v>
      </c>
      <c r="EE10" s="20">
        <f t="shared" si="32"/>
        <v>0</v>
      </c>
      <c r="EF10" s="20">
        <f t="shared" si="33"/>
        <v>0</v>
      </c>
      <c r="EG10" s="20">
        <f t="shared" si="34"/>
        <v>0</v>
      </c>
      <c r="EH10" s="20">
        <f t="shared" si="35"/>
        <v>0</v>
      </c>
      <c r="EI10" s="20">
        <f t="shared" si="36"/>
        <v>0</v>
      </c>
      <c r="EJ10" s="20">
        <f t="shared" si="37"/>
        <v>0</v>
      </c>
      <c r="EL10" s="152"/>
      <c r="EM10" s="152"/>
      <c r="EN10" s="152"/>
      <c r="EO10" s="152"/>
      <c r="EP10" s="152"/>
      <c r="EQ10" s="152"/>
      <c r="ER10" s="152"/>
      <c r="ES10" s="152"/>
      <c r="ET10" s="152"/>
      <c r="EU10" s="152"/>
      <c r="EW10" s="154">
        <f t="shared" si="60"/>
        <v>0</v>
      </c>
      <c r="EX10" s="154">
        <f t="shared" si="39"/>
        <v>0</v>
      </c>
      <c r="EY10" s="154">
        <f t="shared" si="40"/>
        <v>0</v>
      </c>
      <c r="EZ10" s="154">
        <f t="shared" si="41"/>
        <v>0</v>
      </c>
      <c r="FA10" s="154">
        <f t="shared" si="42"/>
        <v>0</v>
      </c>
      <c r="FB10" s="154">
        <f t="shared" si="43"/>
        <v>0</v>
      </c>
      <c r="FC10" s="154">
        <f t="shared" si="44"/>
        <v>0</v>
      </c>
      <c r="FD10" s="154">
        <f t="shared" si="45"/>
        <v>0</v>
      </c>
      <c r="FE10" s="154">
        <f t="shared" si="46"/>
        <v>0</v>
      </c>
      <c r="FF10" s="154">
        <f t="shared" si="47"/>
        <v>0</v>
      </c>
      <c r="FH10" s="154"/>
      <c r="FI10" s="154">
        <v>-9.9424153443376144E-4</v>
      </c>
      <c r="FJ10" s="127">
        <v>0</v>
      </c>
      <c r="FK10" s="127">
        <v>0</v>
      </c>
      <c r="FL10" s="127">
        <v>0</v>
      </c>
      <c r="FM10" s="127"/>
      <c r="FN10" s="127"/>
      <c r="FO10" s="127"/>
      <c r="FP10" s="127"/>
      <c r="FQ10" s="127"/>
      <c r="FS10" s="20">
        <f t="shared" si="61"/>
        <v>0</v>
      </c>
      <c r="FT10" s="20">
        <f t="shared" si="49"/>
        <v>118.26048882794035</v>
      </c>
      <c r="FU10" s="128">
        <f t="shared" si="50"/>
        <v>0</v>
      </c>
      <c r="FV10" s="128">
        <f t="shared" si="51"/>
        <v>0</v>
      </c>
      <c r="FW10" s="128">
        <f t="shared" si="52"/>
        <v>0</v>
      </c>
      <c r="FX10" s="128">
        <f t="shared" si="53"/>
        <v>0</v>
      </c>
      <c r="FY10" s="128">
        <f t="shared" si="54"/>
        <v>0</v>
      </c>
      <c r="FZ10" s="128">
        <f t="shared" si="55"/>
        <v>0</v>
      </c>
      <c r="GA10" s="128">
        <f t="shared" si="56"/>
        <v>0</v>
      </c>
      <c r="GB10" s="128">
        <f t="shared" si="57"/>
        <v>0</v>
      </c>
    </row>
    <row r="11" spans="1:185" ht="13.5">
      <c r="B11" s="19" t="s">
        <v>159</v>
      </c>
      <c r="C11" s="124" t="s">
        <v>155</v>
      </c>
      <c r="D11" s="19" t="s">
        <v>126</v>
      </c>
      <c r="E11" s="153">
        <v>0.03</v>
      </c>
      <c r="F11" s="170">
        <f>8/16</f>
        <v>0.5</v>
      </c>
      <c r="G11" s="151">
        <v>1</v>
      </c>
      <c r="H11" s="19" t="s">
        <v>158</v>
      </c>
      <c r="J11" s="152"/>
      <c r="K11" s="152">
        <v>0</v>
      </c>
      <c r="L11" s="125">
        <v>0</v>
      </c>
      <c r="M11" s="125">
        <v>0</v>
      </c>
      <c r="N11" s="125"/>
      <c r="O11" s="125"/>
      <c r="P11" s="125"/>
      <c r="Q11" s="125"/>
      <c r="R11" s="125"/>
      <c r="S11" s="125"/>
      <c r="U11" s="152"/>
      <c r="V11" s="152"/>
      <c r="W11" s="152"/>
      <c r="X11" s="125"/>
      <c r="Y11" s="125"/>
      <c r="Z11" s="125"/>
      <c r="AA11" s="125"/>
      <c r="AB11" s="125"/>
      <c r="AC11" s="125"/>
      <c r="AD11" s="125"/>
      <c r="AF11" s="165"/>
      <c r="AG11" s="165">
        <v>0.75</v>
      </c>
      <c r="AH11" s="165">
        <v>0.75</v>
      </c>
      <c r="AI11" s="165">
        <v>0.75</v>
      </c>
      <c r="AJ11" s="165">
        <v>0.75</v>
      </c>
      <c r="AK11" s="165"/>
      <c r="AL11" s="165"/>
      <c r="AM11" s="165"/>
      <c r="AN11" s="165"/>
      <c r="AO11" s="165"/>
      <c r="AQ11" s="152"/>
      <c r="AR11" s="152">
        <v>0</v>
      </c>
      <c r="AS11" s="152">
        <v>100</v>
      </c>
      <c r="AT11" s="152">
        <v>100</v>
      </c>
      <c r="AU11" s="152">
        <v>100</v>
      </c>
      <c r="AV11" s="152"/>
      <c r="AW11" s="152"/>
      <c r="AX11" s="152"/>
      <c r="AY11" s="152"/>
      <c r="AZ11" s="152"/>
      <c r="BB11" s="152"/>
      <c r="BC11" s="152"/>
      <c r="BD11" s="152"/>
      <c r="BE11" s="152"/>
      <c r="BF11" s="152"/>
      <c r="BG11" s="152"/>
      <c r="BH11" s="152"/>
      <c r="BI11" s="152"/>
      <c r="BJ11" s="152"/>
      <c r="BK11" s="152"/>
      <c r="BM11" s="152"/>
      <c r="BN11" s="152">
        <f t="shared" si="16"/>
        <v>0</v>
      </c>
      <c r="BO11" s="152">
        <f t="shared" si="16"/>
        <v>0</v>
      </c>
      <c r="BP11" s="152">
        <f t="shared" si="16"/>
        <v>0</v>
      </c>
      <c r="BQ11" s="152">
        <f t="shared" si="16"/>
        <v>0</v>
      </c>
      <c r="BR11" s="152">
        <f t="shared" si="16"/>
        <v>0</v>
      </c>
      <c r="BS11" s="152">
        <f t="shared" si="16"/>
        <v>0</v>
      </c>
      <c r="BT11" s="152">
        <f t="shared" si="16"/>
        <v>0</v>
      </c>
      <c r="BU11" s="152">
        <f t="shared" si="16"/>
        <v>0</v>
      </c>
      <c r="BV11" s="152">
        <f t="shared" si="16"/>
        <v>0</v>
      </c>
      <c r="BX11" s="160"/>
      <c r="BY11" s="159"/>
      <c r="BZ11" s="159"/>
      <c r="CA11" s="159"/>
      <c r="CB11" s="159"/>
      <c r="CC11" s="159"/>
      <c r="CD11" s="159"/>
      <c r="CE11" s="159"/>
      <c r="CF11" s="159"/>
      <c r="CG11" s="159"/>
      <c r="CI11" s="128"/>
      <c r="CJ11" s="128">
        <f t="shared" si="17"/>
        <v>0</v>
      </c>
      <c r="CK11" s="128">
        <f t="shared" si="17"/>
        <v>0</v>
      </c>
      <c r="CL11" s="128">
        <f t="shared" si="17"/>
        <v>0</v>
      </c>
      <c r="CM11" s="128"/>
      <c r="CN11" s="128"/>
      <c r="CO11" s="128"/>
      <c r="CP11" s="128"/>
      <c r="CQ11" s="128"/>
      <c r="CR11" s="128"/>
      <c r="CT11" s="168"/>
      <c r="CU11" s="168"/>
      <c r="CV11" s="168"/>
      <c r="CW11" s="168"/>
      <c r="CX11" s="168"/>
      <c r="CY11" s="168"/>
      <c r="CZ11" s="168"/>
      <c r="DA11" s="168"/>
      <c r="DB11" s="168"/>
      <c r="DC11" s="168"/>
      <c r="DE11" s="20">
        <f t="shared" si="58"/>
        <v>0</v>
      </c>
      <c r="DF11" s="128">
        <f t="shared" si="19"/>
        <v>0</v>
      </c>
      <c r="DG11" s="20">
        <f t="shared" si="20"/>
        <v>0</v>
      </c>
      <c r="DH11" s="20">
        <f t="shared" si="21"/>
        <v>0</v>
      </c>
      <c r="DI11" s="20">
        <f t="shared" si="22"/>
        <v>0</v>
      </c>
      <c r="DJ11" s="20">
        <f t="shared" si="23"/>
        <v>0</v>
      </c>
      <c r="DK11" s="20">
        <f t="shared" si="24"/>
        <v>0</v>
      </c>
      <c r="DL11" s="20">
        <f t="shared" si="25"/>
        <v>0</v>
      </c>
      <c r="DM11" s="20">
        <f t="shared" si="26"/>
        <v>0</v>
      </c>
      <c r="DN11" s="20">
        <f t="shared" si="27"/>
        <v>0</v>
      </c>
      <c r="DP11" s="20"/>
      <c r="DQ11" s="20"/>
      <c r="DR11" s="20"/>
      <c r="DS11" s="20"/>
      <c r="DT11" s="20"/>
      <c r="DU11" s="20"/>
      <c r="DV11" s="20"/>
      <c r="DW11" s="20"/>
      <c r="DX11" s="20"/>
      <c r="DY11" s="20"/>
      <c r="EA11" s="20">
        <f t="shared" si="59"/>
        <v>0</v>
      </c>
      <c r="EB11" s="20">
        <f t="shared" si="29"/>
        <v>0</v>
      </c>
      <c r="EC11" s="20">
        <f t="shared" si="30"/>
        <v>0</v>
      </c>
      <c r="ED11" s="20">
        <f t="shared" si="31"/>
        <v>0</v>
      </c>
      <c r="EE11" s="20">
        <f t="shared" si="32"/>
        <v>0</v>
      </c>
      <c r="EF11" s="20">
        <f t="shared" si="33"/>
        <v>0</v>
      </c>
      <c r="EG11" s="20">
        <f t="shared" si="34"/>
        <v>0</v>
      </c>
      <c r="EH11" s="20">
        <f t="shared" si="35"/>
        <v>0</v>
      </c>
      <c r="EI11" s="20">
        <f t="shared" si="36"/>
        <v>0</v>
      </c>
      <c r="EJ11" s="20">
        <f t="shared" si="37"/>
        <v>0</v>
      </c>
      <c r="EL11" s="152"/>
      <c r="EM11" s="152"/>
      <c r="EN11" s="152"/>
      <c r="EO11" s="152"/>
      <c r="EP11" s="152"/>
      <c r="EQ11" s="152"/>
      <c r="ER11" s="152"/>
      <c r="ES11" s="152"/>
      <c r="ET11" s="152"/>
      <c r="EU11" s="152"/>
      <c r="EW11" s="154">
        <f t="shared" si="60"/>
        <v>0</v>
      </c>
      <c r="EX11" s="154">
        <f t="shared" si="39"/>
        <v>0</v>
      </c>
      <c r="EY11" s="154">
        <f t="shared" si="40"/>
        <v>0</v>
      </c>
      <c r="EZ11" s="154">
        <f t="shared" si="41"/>
        <v>0</v>
      </c>
      <c r="FA11" s="154">
        <f t="shared" si="42"/>
        <v>0</v>
      </c>
      <c r="FB11" s="154">
        <f t="shared" si="43"/>
        <v>0</v>
      </c>
      <c r="FC11" s="154">
        <f t="shared" si="44"/>
        <v>0</v>
      </c>
      <c r="FD11" s="154">
        <f t="shared" si="45"/>
        <v>0</v>
      </c>
      <c r="FE11" s="154">
        <f t="shared" si="46"/>
        <v>0</v>
      </c>
      <c r="FF11" s="154">
        <f t="shared" si="47"/>
        <v>0</v>
      </c>
      <c r="FH11" s="154"/>
      <c r="FI11" s="154"/>
      <c r="FJ11" s="127"/>
      <c r="FK11" s="127"/>
      <c r="FL11" s="127"/>
      <c r="FM11" s="127"/>
      <c r="FN11" s="127"/>
      <c r="FO11" s="127"/>
      <c r="FP11" s="127"/>
      <c r="FQ11" s="127"/>
      <c r="FS11" s="20">
        <f t="shared" si="61"/>
        <v>0</v>
      </c>
      <c r="FT11" s="20">
        <f t="shared" si="49"/>
        <v>0</v>
      </c>
      <c r="FU11" s="128">
        <f t="shared" si="50"/>
        <v>0</v>
      </c>
      <c r="FV11" s="128">
        <f t="shared" si="51"/>
        <v>0</v>
      </c>
      <c r="FW11" s="128">
        <f t="shared" si="52"/>
        <v>0</v>
      </c>
      <c r="FX11" s="128">
        <f t="shared" si="53"/>
        <v>0</v>
      </c>
      <c r="FY11" s="128">
        <f t="shared" si="54"/>
        <v>0</v>
      </c>
      <c r="FZ11" s="128">
        <f t="shared" si="55"/>
        <v>0</v>
      </c>
      <c r="GA11" s="128">
        <f t="shared" si="56"/>
        <v>0</v>
      </c>
      <c r="GB11" s="128">
        <f t="shared" si="57"/>
        <v>0</v>
      </c>
    </row>
    <row r="12" spans="1:185" ht="13.5">
      <c r="B12" s="19" t="s">
        <v>159</v>
      </c>
      <c r="C12" s="124" t="s">
        <v>155</v>
      </c>
      <c r="D12" s="19" t="s">
        <v>127</v>
      </c>
      <c r="E12" s="153">
        <v>0.82</v>
      </c>
      <c r="F12" s="170">
        <f>1500/1000</f>
        <v>1.5</v>
      </c>
      <c r="G12" s="151">
        <v>1</v>
      </c>
      <c r="H12" s="19" t="s">
        <v>160</v>
      </c>
      <c r="J12" s="152"/>
      <c r="K12" s="152">
        <v>0</v>
      </c>
      <c r="L12" s="152">
        <v>0</v>
      </c>
      <c r="M12" s="152">
        <v>0</v>
      </c>
      <c r="N12" s="152"/>
      <c r="O12" s="152"/>
      <c r="P12" s="152"/>
      <c r="Q12" s="152"/>
      <c r="R12" s="152"/>
      <c r="S12" s="152"/>
      <c r="U12" s="125"/>
      <c r="V12" s="125"/>
      <c r="W12" s="125"/>
      <c r="X12" s="125"/>
      <c r="Y12" s="125"/>
      <c r="Z12" s="125"/>
      <c r="AA12" s="125"/>
      <c r="AB12" s="125"/>
      <c r="AC12" s="125"/>
      <c r="AD12" s="125"/>
      <c r="AF12" s="165"/>
      <c r="AG12" s="165">
        <v>1</v>
      </c>
      <c r="AH12" s="165">
        <v>1</v>
      </c>
      <c r="AI12" s="165">
        <v>1</v>
      </c>
      <c r="AJ12" s="165">
        <v>1</v>
      </c>
      <c r="AK12" s="165"/>
      <c r="AL12" s="165"/>
      <c r="AM12" s="165"/>
      <c r="AN12" s="165"/>
      <c r="AO12" s="165"/>
      <c r="AQ12" s="152"/>
      <c r="AR12" s="152">
        <v>0</v>
      </c>
      <c r="AS12" s="152">
        <v>1</v>
      </c>
      <c r="AT12" s="152">
        <v>1</v>
      </c>
      <c r="AU12" s="152">
        <v>1</v>
      </c>
      <c r="AV12" s="152"/>
      <c r="AW12" s="152"/>
      <c r="AX12" s="152"/>
      <c r="AY12" s="152"/>
      <c r="AZ12" s="152"/>
      <c r="BB12" s="152"/>
      <c r="BC12" s="152"/>
      <c r="BD12" s="152"/>
      <c r="BE12" s="152"/>
      <c r="BF12" s="152"/>
      <c r="BG12" s="152"/>
      <c r="BH12" s="152"/>
      <c r="BI12" s="152"/>
      <c r="BJ12" s="152"/>
      <c r="BK12" s="152"/>
      <c r="BM12" s="125"/>
      <c r="BN12" s="125">
        <f t="shared" si="16"/>
        <v>0</v>
      </c>
      <c r="BO12" s="125">
        <f t="shared" si="16"/>
        <v>0</v>
      </c>
      <c r="BP12" s="125">
        <f t="shared" si="16"/>
        <v>0</v>
      </c>
      <c r="BQ12" s="125">
        <f t="shared" si="16"/>
        <v>0</v>
      </c>
      <c r="BR12" s="125">
        <f t="shared" si="16"/>
        <v>0</v>
      </c>
      <c r="BS12" s="125">
        <f t="shared" si="16"/>
        <v>0</v>
      </c>
      <c r="BT12" s="125">
        <f t="shared" si="16"/>
        <v>0</v>
      </c>
      <c r="BU12" s="125">
        <f t="shared" si="16"/>
        <v>0</v>
      </c>
      <c r="BV12" s="125">
        <f t="shared" si="16"/>
        <v>0</v>
      </c>
      <c r="BX12" s="160"/>
      <c r="BY12" s="160"/>
      <c r="BZ12" s="160"/>
      <c r="CA12" s="160"/>
      <c r="CB12" s="160"/>
      <c r="CC12" s="160"/>
      <c r="CD12" s="160"/>
      <c r="CE12" s="160"/>
      <c r="CF12" s="160"/>
      <c r="CG12" s="160"/>
      <c r="CI12" s="128"/>
      <c r="CJ12" s="128">
        <f t="shared" si="17"/>
        <v>0</v>
      </c>
      <c r="CK12" s="128">
        <f t="shared" si="17"/>
        <v>0</v>
      </c>
      <c r="CL12" s="128">
        <f t="shared" si="17"/>
        <v>0</v>
      </c>
      <c r="CM12" s="128"/>
      <c r="CN12" s="128"/>
      <c r="CO12" s="128"/>
      <c r="CP12" s="128"/>
      <c r="CQ12" s="128"/>
      <c r="CR12" s="128"/>
      <c r="CT12" s="25"/>
      <c r="CU12" s="168"/>
      <c r="CV12" s="168"/>
      <c r="CW12" s="168"/>
      <c r="CX12" s="168"/>
      <c r="CY12" s="168"/>
      <c r="CZ12" s="168"/>
      <c r="DA12" s="168"/>
      <c r="DB12" s="168"/>
      <c r="DC12" s="168"/>
      <c r="DE12" s="20">
        <f t="shared" si="58"/>
        <v>0</v>
      </c>
      <c r="DF12" s="128">
        <f t="shared" si="19"/>
        <v>0</v>
      </c>
      <c r="DG12" s="20">
        <f t="shared" si="20"/>
        <v>0</v>
      </c>
      <c r="DH12" s="20">
        <f t="shared" si="21"/>
        <v>0</v>
      </c>
      <c r="DI12" s="20">
        <f t="shared" si="22"/>
        <v>0</v>
      </c>
      <c r="DJ12" s="20">
        <f t="shared" si="23"/>
        <v>0</v>
      </c>
      <c r="DK12" s="20">
        <f t="shared" si="24"/>
        <v>0</v>
      </c>
      <c r="DL12" s="20">
        <f t="shared" si="25"/>
        <v>0</v>
      </c>
      <c r="DM12" s="20">
        <f t="shared" si="26"/>
        <v>0</v>
      </c>
      <c r="DN12" s="20">
        <f t="shared" si="27"/>
        <v>0</v>
      </c>
      <c r="DP12" s="20"/>
      <c r="DQ12" s="20"/>
      <c r="DR12" s="20"/>
      <c r="DS12" s="20"/>
      <c r="DT12" s="20"/>
      <c r="DU12" s="20"/>
      <c r="DV12" s="20"/>
      <c r="DW12" s="20"/>
      <c r="DX12" s="20"/>
      <c r="DY12" s="20"/>
      <c r="EA12" s="20">
        <f t="shared" si="59"/>
        <v>0</v>
      </c>
      <c r="EB12" s="20">
        <f t="shared" si="29"/>
        <v>0</v>
      </c>
      <c r="EC12" s="20">
        <f t="shared" si="30"/>
        <v>0</v>
      </c>
      <c r="ED12" s="20">
        <f t="shared" si="31"/>
        <v>0</v>
      </c>
      <c r="EE12" s="20">
        <f t="shared" si="32"/>
        <v>0</v>
      </c>
      <c r="EF12" s="20">
        <f t="shared" si="33"/>
        <v>0</v>
      </c>
      <c r="EG12" s="20">
        <f t="shared" si="34"/>
        <v>0</v>
      </c>
      <c r="EH12" s="20">
        <f t="shared" si="35"/>
        <v>0</v>
      </c>
      <c r="EI12" s="20">
        <f t="shared" si="36"/>
        <v>0</v>
      </c>
      <c r="EJ12" s="20">
        <f t="shared" si="37"/>
        <v>0</v>
      </c>
      <c r="EL12" s="152"/>
      <c r="EM12" s="152"/>
      <c r="EN12" s="152"/>
      <c r="EO12" s="152"/>
      <c r="EP12" s="152"/>
      <c r="EQ12" s="152"/>
      <c r="ER12" s="152"/>
      <c r="ES12" s="152"/>
      <c r="ET12" s="152"/>
      <c r="EU12" s="152"/>
      <c r="EW12" s="154">
        <f t="shared" si="60"/>
        <v>0</v>
      </c>
      <c r="EX12" s="154">
        <f t="shared" si="39"/>
        <v>0</v>
      </c>
      <c r="EY12" s="154">
        <f t="shared" si="40"/>
        <v>0</v>
      </c>
      <c r="EZ12" s="154">
        <f t="shared" si="41"/>
        <v>0</v>
      </c>
      <c r="FA12" s="154">
        <f t="shared" si="42"/>
        <v>0</v>
      </c>
      <c r="FB12" s="154">
        <f t="shared" si="43"/>
        <v>0</v>
      </c>
      <c r="FC12" s="154">
        <f t="shared" si="44"/>
        <v>0</v>
      </c>
      <c r="FD12" s="154">
        <f t="shared" si="45"/>
        <v>0</v>
      </c>
      <c r="FE12" s="154">
        <f t="shared" si="46"/>
        <v>0</v>
      </c>
      <c r="FF12" s="154">
        <f t="shared" si="47"/>
        <v>0</v>
      </c>
      <c r="FH12" s="154"/>
      <c r="FI12" s="154"/>
      <c r="FJ12" s="127"/>
      <c r="FK12" s="127"/>
      <c r="FL12" s="127"/>
      <c r="FM12" s="127"/>
      <c r="FN12" s="127"/>
      <c r="FO12" s="127"/>
      <c r="FP12" s="127"/>
      <c r="FQ12" s="127"/>
      <c r="FS12" s="20">
        <f t="shared" si="61"/>
        <v>0</v>
      </c>
      <c r="FT12" s="20">
        <f t="shared" si="49"/>
        <v>0</v>
      </c>
      <c r="FU12" s="128">
        <f t="shared" si="50"/>
        <v>0</v>
      </c>
      <c r="FV12" s="128">
        <f t="shared" si="51"/>
        <v>0</v>
      </c>
      <c r="FW12" s="128">
        <f t="shared" si="52"/>
        <v>0</v>
      </c>
      <c r="FX12" s="128">
        <f t="shared" si="53"/>
        <v>0</v>
      </c>
      <c r="FY12" s="128">
        <f t="shared" si="54"/>
        <v>0</v>
      </c>
      <c r="FZ12" s="128">
        <f t="shared" si="55"/>
        <v>0</v>
      </c>
      <c r="GA12" s="128">
        <f t="shared" si="56"/>
        <v>0</v>
      </c>
      <c r="GB12" s="128">
        <f t="shared" si="57"/>
        <v>0</v>
      </c>
    </row>
    <row r="13" spans="1:185" ht="13.5">
      <c r="B13" s="19" t="s">
        <v>161</v>
      </c>
      <c r="C13" s="124" t="s">
        <v>155</v>
      </c>
      <c r="D13" s="19" t="s">
        <v>128</v>
      </c>
      <c r="E13" s="153">
        <v>0.82</v>
      </c>
      <c r="F13" s="170">
        <f>500/1000</f>
        <v>0.5</v>
      </c>
      <c r="G13" s="151">
        <v>1</v>
      </c>
      <c r="H13" s="19" t="s">
        <v>157</v>
      </c>
      <c r="J13" s="152"/>
      <c r="K13" s="152">
        <v>2</v>
      </c>
      <c r="L13" s="152">
        <v>0</v>
      </c>
      <c r="M13" s="152">
        <v>0</v>
      </c>
      <c r="N13" s="152"/>
      <c r="O13" s="152"/>
      <c r="P13" s="152"/>
      <c r="Q13" s="152"/>
      <c r="R13" s="152"/>
      <c r="S13" s="152"/>
      <c r="U13" s="125"/>
      <c r="V13" s="125">
        <v>52</v>
      </c>
      <c r="W13" s="125">
        <v>52</v>
      </c>
      <c r="X13" s="125">
        <v>52</v>
      </c>
      <c r="Y13" s="125">
        <v>52</v>
      </c>
      <c r="Z13" s="125">
        <v>52</v>
      </c>
      <c r="AA13" s="125">
        <v>52</v>
      </c>
      <c r="AB13" s="125">
        <v>52</v>
      </c>
      <c r="AC13" s="125">
        <v>52</v>
      </c>
      <c r="AD13" s="125">
        <v>52</v>
      </c>
      <c r="AF13" s="165"/>
      <c r="AG13" s="165">
        <v>0.75</v>
      </c>
      <c r="AH13" s="165">
        <v>0.9</v>
      </c>
      <c r="AI13" s="165">
        <v>0.9</v>
      </c>
      <c r="AJ13" s="165">
        <v>0.9</v>
      </c>
      <c r="AK13" s="165">
        <v>0.9</v>
      </c>
      <c r="AL13" s="165">
        <v>0.9</v>
      </c>
      <c r="AM13" s="165">
        <v>0.9</v>
      </c>
      <c r="AN13" s="165">
        <v>0.9</v>
      </c>
      <c r="AO13" s="165">
        <v>0.9</v>
      </c>
      <c r="AQ13" s="152"/>
      <c r="AR13" s="152">
        <v>986.5689865689867</v>
      </c>
      <c r="AS13" s="152">
        <v>1501.3284232174733</v>
      </c>
      <c r="AT13" s="152">
        <v>3002.6568464349466</v>
      </c>
      <c r="AU13" s="152">
        <v>3996.4512129265499</v>
      </c>
      <c r="AV13" s="152">
        <v>4795.7414555118594</v>
      </c>
      <c r="AW13" s="152">
        <v>5754.8897466142307</v>
      </c>
      <c r="AX13" s="152">
        <v>6790.7699010047918</v>
      </c>
      <c r="AY13" s="152">
        <v>8013.1084831856542</v>
      </c>
      <c r="AZ13" s="152">
        <v>9455.4680101590711</v>
      </c>
      <c r="BB13" s="152"/>
      <c r="BC13" s="152">
        <v>3</v>
      </c>
      <c r="BD13" s="152">
        <v>3</v>
      </c>
      <c r="BE13" s="152">
        <v>3</v>
      </c>
      <c r="BF13" s="152">
        <v>3</v>
      </c>
      <c r="BG13" s="152">
        <v>3</v>
      </c>
      <c r="BH13" s="152">
        <v>3</v>
      </c>
      <c r="BI13" s="152">
        <v>3</v>
      </c>
      <c r="BJ13" s="152">
        <v>3</v>
      </c>
      <c r="BK13" s="152">
        <v>3</v>
      </c>
      <c r="BM13" s="125"/>
      <c r="BN13" s="125">
        <f t="shared" si="16"/>
        <v>230.85714285714289</v>
      </c>
      <c r="BO13" s="125">
        <f t="shared" si="16"/>
        <v>0</v>
      </c>
      <c r="BP13" s="125">
        <f t="shared" si="16"/>
        <v>0</v>
      </c>
      <c r="BQ13" s="125">
        <f t="shared" si="16"/>
        <v>0</v>
      </c>
      <c r="BR13" s="125">
        <f t="shared" si="16"/>
        <v>0</v>
      </c>
      <c r="BS13" s="125">
        <f t="shared" si="16"/>
        <v>0</v>
      </c>
      <c r="BT13" s="125">
        <f t="shared" si="16"/>
        <v>0</v>
      </c>
      <c r="BU13" s="125">
        <f t="shared" si="16"/>
        <v>0</v>
      </c>
      <c r="BV13" s="125">
        <f t="shared" si="16"/>
        <v>0</v>
      </c>
      <c r="BX13" s="160"/>
      <c r="BY13" s="159">
        <v>3.5</v>
      </c>
      <c r="BZ13" s="159">
        <v>3.5</v>
      </c>
      <c r="CA13" s="159">
        <v>3.605</v>
      </c>
      <c r="CB13" s="159">
        <v>3.7131500000000002</v>
      </c>
      <c r="CC13" s="159">
        <v>3.8245445000000005</v>
      </c>
      <c r="CD13" s="159">
        <v>3.9392808350000004</v>
      </c>
      <c r="CE13" s="159">
        <v>4.1126091917400007</v>
      </c>
      <c r="CF13" s="159">
        <v>4.2935639961765606</v>
      </c>
      <c r="CG13" s="159">
        <v>4.4824808120083297</v>
      </c>
      <c r="CI13" s="128"/>
      <c r="CJ13" s="128">
        <f t="shared" si="17"/>
        <v>808.00000000000011</v>
      </c>
      <c r="CK13" s="128">
        <f t="shared" si="17"/>
        <v>0</v>
      </c>
      <c r="CL13" s="128">
        <f t="shared" si="17"/>
        <v>0</v>
      </c>
      <c r="CM13" s="128"/>
      <c r="CN13" s="128"/>
      <c r="CO13" s="128"/>
      <c r="CP13" s="128"/>
      <c r="CQ13" s="128"/>
      <c r="CR13" s="128"/>
      <c r="CT13" s="25"/>
      <c r="CU13" s="168">
        <v>0.39327892686839416</v>
      </c>
      <c r="CV13" s="168">
        <v>0.37327892686839415</v>
      </c>
      <c r="CW13" s="168">
        <v>0.35327892686839413</v>
      </c>
      <c r="CX13" s="168">
        <v>0.33327892686839411</v>
      </c>
      <c r="CY13" s="168"/>
      <c r="CZ13" s="168"/>
      <c r="DA13" s="168"/>
      <c r="DB13" s="168"/>
      <c r="DC13" s="168"/>
      <c r="DE13" s="20">
        <f t="shared" si="58"/>
        <v>0</v>
      </c>
      <c r="DF13" s="128">
        <f t="shared" si="19"/>
        <v>-317.76937290966254</v>
      </c>
      <c r="DG13" s="20">
        <f t="shared" si="20"/>
        <v>0</v>
      </c>
      <c r="DH13" s="20">
        <f t="shared" si="21"/>
        <v>0</v>
      </c>
      <c r="DI13" s="20">
        <f t="shared" si="22"/>
        <v>0</v>
      </c>
      <c r="DJ13" s="20">
        <f t="shared" si="23"/>
        <v>0</v>
      </c>
      <c r="DK13" s="20">
        <f t="shared" si="24"/>
        <v>0</v>
      </c>
      <c r="DL13" s="20">
        <f t="shared" si="25"/>
        <v>0</v>
      </c>
      <c r="DM13" s="20">
        <f t="shared" si="26"/>
        <v>0</v>
      </c>
      <c r="DN13" s="20">
        <f t="shared" si="27"/>
        <v>0</v>
      </c>
      <c r="DP13" s="20"/>
      <c r="DQ13" s="20"/>
      <c r="DR13" s="20"/>
      <c r="DS13" s="20"/>
      <c r="DT13" s="20"/>
      <c r="DU13" s="20"/>
      <c r="DV13" s="20"/>
      <c r="DW13" s="20"/>
      <c r="DX13" s="20"/>
      <c r="DY13" s="20"/>
      <c r="EA13" s="20">
        <f t="shared" si="59"/>
        <v>0</v>
      </c>
      <c r="EB13" s="20">
        <f t="shared" si="29"/>
        <v>490.23062709033758</v>
      </c>
      <c r="EC13" s="20">
        <f t="shared" si="30"/>
        <v>0</v>
      </c>
      <c r="ED13" s="20">
        <f t="shared" si="31"/>
        <v>0</v>
      </c>
      <c r="EE13" s="20">
        <f t="shared" si="32"/>
        <v>0</v>
      </c>
      <c r="EF13" s="20">
        <f t="shared" si="33"/>
        <v>0</v>
      </c>
      <c r="EG13" s="20">
        <f t="shared" si="34"/>
        <v>0</v>
      </c>
      <c r="EH13" s="20">
        <f t="shared" si="35"/>
        <v>0</v>
      </c>
      <c r="EI13" s="20">
        <f t="shared" si="36"/>
        <v>0</v>
      </c>
      <c r="EJ13" s="20">
        <f t="shared" si="37"/>
        <v>0</v>
      </c>
      <c r="EL13" s="152"/>
      <c r="EM13" s="152"/>
      <c r="EN13" s="152"/>
      <c r="EO13" s="152"/>
      <c r="EP13" s="152"/>
      <c r="EQ13" s="152"/>
      <c r="ER13" s="152"/>
      <c r="ES13" s="152"/>
      <c r="ET13" s="152"/>
      <c r="EU13" s="152"/>
      <c r="EW13" s="154">
        <f t="shared" si="60"/>
        <v>0</v>
      </c>
      <c r="EX13" s="154">
        <f t="shared" si="39"/>
        <v>0</v>
      </c>
      <c r="EY13" s="154">
        <f t="shared" si="40"/>
        <v>0</v>
      </c>
      <c r="EZ13" s="154">
        <f t="shared" si="41"/>
        <v>0</v>
      </c>
      <c r="FA13" s="154">
        <f t="shared" si="42"/>
        <v>0</v>
      </c>
      <c r="FB13" s="154">
        <f t="shared" si="43"/>
        <v>0</v>
      </c>
      <c r="FC13" s="154">
        <f t="shared" si="44"/>
        <v>0</v>
      </c>
      <c r="FD13" s="154">
        <f t="shared" si="45"/>
        <v>0</v>
      </c>
      <c r="FE13" s="154">
        <f t="shared" si="46"/>
        <v>0</v>
      </c>
      <c r="FF13" s="154">
        <f t="shared" si="47"/>
        <v>0</v>
      </c>
      <c r="FH13" s="154"/>
      <c r="FI13" s="154">
        <v>-0.92399224904553434</v>
      </c>
      <c r="FJ13" s="127">
        <v>-5.453378476240904E-2</v>
      </c>
      <c r="FK13" s="127">
        <v>9.9045606671567435E-2</v>
      </c>
      <c r="FL13" s="127">
        <v>0.28062675708358875</v>
      </c>
      <c r="FM13" s="127"/>
      <c r="FN13" s="127"/>
      <c r="FO13" s="127"/>
      <c r="FP13" s="127"/>
      <c r="FQ13" s="127"/>
      <c r="FS13" s="20">
        <f t="shared" si="61"/>
        <v>0</v>
      </c>
      <c r="FT13" s="20">
        <f t="shared" si="49"/>
        <v>943.19992676654124</v>
      </c>
      <c r="FU13" s="128">
        <f t="shared" si="50"/>
        <v>0</v>
      </c>
      <c r="FV13" s="128">
        <f t="shared" si="51"/>
        <v>0</v>
      </c>
      <c r="FW13" s="128">
        <f t="shared" si="52"/>
        <v>0</v>
      </c>
      <c r="FX13" s="128">
        <f t="shared" si="53"/>
        <v>0</v>
      </c>
      <c r="FY13" s="128">
        <f t="shared" si="54"/>
        <v>0</v>
      </c>
      <c r="FZ13" s="128">
        <f t="shared" si="55"/>
        <v>0</v>
      </c>
      <c r="GA13" s="128">
        <f t="shared" si="56"/>
        <v>0</v>
      </c>
      <c r="GB13" s="128">
        <f t="shared" si="57"/>
        <v>0</v>
      </c>
    </row>
    <row r="14" spans="1:185" ht="13.5">
      <c r="B14" s="19" t="s">
        <v>161</v>
      </c>
      <c r="C14" s="124" t="s">
        <v>155</v>
      </c>
      <c r="D14" s="19" t="s">
        <v>129</v>
      </c>
      <c r="E14" s="153">
        <v>0.1</v>
      </c>
      <c r="F14" s="170">
        <f>(16/16)*3</f>
        <v>3</v>
      </c>
      <c r="G14" s="151">
        <v>1</v>
      </c>
      <c r="H14" s="19" t="s">
        <v>156</v>
      </c>
      <c r="J14" s="152"/>
      <c r="K14" s="152">
        <v>0</v>
      </c>
      <c r="L14" s="152">
        <v>0</v>
      </c>
      <c r="M14" s="152">
        <v>0</v>
      </c>
      <c r="N14" s="152"/>
      <c r="O14" s="152"/>
      <c r="P14" s="152"/>
      <c r="Q14" s="152"/>
      <c r="R14" s="152"/>
      <c r="S14" s="152"/>
      <c r="U14" s="152"/>
      <c r="V14" s="152">
        <v>0</v>
      </c>
      <c r="W14" s="152">
        <v>52</v>
      </c>
      <c r="X14" s="125">
        <v>52</v>
      </c>
      <c r="Y14" s="125">
        <v>52</v>
      </c>
      <c r="Z14" s="125">
        <v>52</v>
      </c>
      <c r="AA14" s="125">
        <v>52</v>
      </c>
      <c r="AB14" s="125">
        <v>52</v>
      </c>
      <c r="AC14" s="125">
        <v>52</v>
      </c>
      <c r="AD14" s="125">
        <v>52</v>
      </c>
      <c r="AF14" s="165"/>
      <c r="AG14" s="165">
        <v>0.9</v>
      </c>
      <c r="AH14" s="165">
        <v>0.9</v>
      </c>
      <c r="AI14" s="165">
        <v>0.9</v>
      </c>
      <c r="AJ14" s="165">
        <v>0.9</v>
      </c>
      <c r="AK14" s="165">
        <v>0.9</v>
      </c>
      <c r="AL14" s="165">
        <v>0.9</v>
      </c>
      <c r="AM14" s="165">
        <v>0.9</v>
      </c>
      <c r="AN14" s="165">
        <v>0.9</v>
      </c>
      <c r="AO14" s="165">
        <v>0.9</v>
      </c>
      <c r="AQ14" s="152"/>
      <c r="AR14" s="152">
        <v>0</v>
      </c>
      <c r="AS14" s="152">
        <v>600</v>
      </c>
      <c r="AT14" s="152">
        <v>1110</v>
      </c>
      <c r="AU14" s="152">
        <v>2109</v>
      </c>
      <c r="AV14" s="152">
        <v>2530.7999999999997</v>
      </c>
      <c r="AW14" s="152">
        <v>3212.8961062570834</v>
      </c>
      <c r="AX14" s="152">
        <v>3983.9911717587834</v>
      </c>
      <c r="AY14" s="152">
        <v>4940.1490529808916</v>
      </c>
      <c r="AZ14" s="152">
        <v>6125.7848256963052</v>
      </c>
      <c r="BB14" s="152"/>
      <c r="BC14" s="152">
        <v>2</v>
      </c>
      <c r="BD14" s="152">
        <v>2</v>
      </c>
      <c r="BE14" s="152">
        <v>2</v>
      </c>
      <c r="BF14" s="152">
        <v>2</v>
      </c>
      <c r="BG14" s="152">
        <v>2</v>
      </c>
      <c r="BH14" s="152">
        <v>2</v>
      </c>
      <c r="BI14" s="152">
        <v>2</v>
      </c>
      <c r="BJ14" s="152">
        <v>2</v>
      </c>
      <c r="BK14" s="152">
        <v>2</v>
      </c>
      <c r="BM14" s="152"/>
      <c r="BN14" s="152">
        <f t="shared" si="16"/>
        <v>0</v>
      </c>
      <c r="BO14" s="152">
        <f t="shared" si="16"/>
        <v>0</v>
      </c>
      <c r="BP14" s="152">
        <f t="shared" si="16"/>
        <v>0</v>
      </c>
      <c r="BQ14" s="152">
        <f t="shared" si="16"/>
        <v>0</v>
      </c>
      <c r="BR14" s="152">
        <f t="shared" si="16"/>
        <v>0</v>
      </c>
      <c r="BS14" s="152">
        <f t="shared" si="16"/>
        <v>0</v>
      </c>
      <c r="BT14" s="152">
        <f t="shared" si="16"/>
        <v>0</v>
      </c>
      <c r="BU14" s="152">
        <f t="shared" si="16"/>
        <v>0</v>
      </c>
      <c r="BV14" s="152">
        <f t="shared" si="16"/>
        <v>0</v>
      </c>
      <c r="BX14" s="160"/>
      <c r="BY14" s="159"/>
      <c r="BZ14" s="159">
        <v>4</v>
      </c>
      <c r="CA14" s="159">
        <v>4.12</v>
      </c>
      <c r="CB14" s="159">
        <v>4.2435999999999998</v>
      </c>
      <c r="CC14" s="159">
        <v>4.370908</v>
      </c>
      <c r="CD14" s="159">
        <v>4.5020352400000005</v>
      </c>
      <c r="CE14" s="159">
        <v>4.7001247905600003</v>
      </c>
      <c r="CF14" s="159">
        <v>4.9069302813446409</v>
      </c>
      <c r="CG14" s="159">
        <v>5.1228352137238051</v>
      </c>
      <c r="CI14" s="128"/>
      <c r="CJ14" s="128">
        <f t="shared" si="17"/>
        <v>0</v>
      </c>
      <c r="CK14" s="128">
        <f t="shared" si="17"/>
        <v>0</v>
      </c>
      <c r="CL14" s="128">
        <f t="shared" si="17"/>
        <v>0</v>
      </c>
      <c r="CM14" s="128"/>
      <c r="CN14" s="128"/>
      <c r="CO14" s="128"/>
      <c r="CP14" s="128"/>
      <c r="CQ14" s="128"/>
      <c r="CR14" s="128"/>
      <c r="CT14" s="168"/>
      <c r="CU14" s="168"/>
      <c r="CV14" s="168">
        <v>0.13</v>
      </c>
      <c r="CW14" s="168">
        <v>0.13</v>
      </c>
      <c r="CX14" s="168">
        <v>0.13</v>
      </c>
      <c r="CY14" s="168"/>
      <c r="CZ14" s="168"/>
      <c r="DA14" s="168"/>
      <c r="DB14" s="168"/>
      <c r="DC14" s="168"/>
      <c r="DE14" s="20">
        <f t="shared" si="58"/>
        <v>0</v>
      </c>
      <c r="DF14" s="128">
        <f t="shared" si="19"/>
        <v>0</v>
      </c>
      <c r="DG14" s="20">
        <f t="shared" si="20"/>
        <v>0</v>
      </c>
      <c r="DH14" s="20">
        <f t="shared" si="21"/>
        <v>0</v>
      </c>
      <c r="DI14" s="20">
        <f t="shared" si="22"/>
        <v>0</v>
      </c>
      <c r="DJ14" s="20">
        <f t="shared" si="23"/>
        <v>0</v>
      </c>
      <c r="DK14" s="20">
        <f t="shared" si="24"/>
        <v>0</v>
      </c>
      <c r="DL14" s="20">
        <f t="shared" si="25"/>
        <v>0</v>
      </c>
      <c r="DM14" s="20">
        <f t="shared" si="26"/>
        <v>0</v>
      </c>
      <c r="DN14" s="20">
        <f t="shared" si="27"/>
        <v>0</v>
      </c>
      <c r="DP14" s="20"/>
      <c r="DQ14" s="20"/>
      <c r="DR14" s="20"/>
      <c r="DS14" s="20"/>
      <c r="DT14" s="20"/>
      <c r="DU14" s="20"/>
      <c r="DV14" s="20"/>
      <c r="DW14" s="20"/>
      <c r="DX14" s="20"/>
      <c r="DY14" s="20"/>
      <c r="EA14" s="20">
        <f t="shared" si="59"/>
        <v>0</v>
      </c>
      <c r="EB14" s="20">
        <f t="shared" si="29"/>
        <v>0</v>
      </c>
      <c r="EC14" s="20">
        <f t="shared" si="30"/>
        <v>0</v>
      </c>
      <c r="ED14" s="20">
        <f t="shared" si="31"/>
        <v>0</v>
      </c>
      <c r="EE14" s="20">
        <f t="shared" si="32"/>
        <v>0</v>
      </c>
      <c r="EF14" s="20">
        <f t="shared" si="33"/>
        <v>0</v>
      </c>
      <c r="EG14" s="20">
        <f t="shared" si="34"/>
        <v>0</v>
      </c>
      <c r="EH14" s="20">
        <f t="shared" si="35"/>
        <v>0</v>
      </c>
      <c r="EI14" s="20">
        <f t="shared" si="36"/>
        <v>0</v>
      </c>
      <c r="EJ14" s="20">
        <f t="shared" si="37"/>
        <v>0</v>
      </c>
      <c r="EL14" s="152"/>
      <c r="EM14" s="152"/>
      <c r="EN14" s="152"/>
      <c r="EO14" s="152"/>
      <c r="EP14" s="152"/>
      <c r="EQ14" s="152"/>
      <c r="ER14" s="152"/>
      <c r="ES14" s="152"/>
      <c r="ET14" s="152"/>
      <c r="EU14" s="152"/>
      <c r="EW14" s="154">
        <f t="shared" si="60"/>
        <v>0</v>
      </c>
      <c r="EX14" s="154">
        <f t="shared" si="39"/>
        <v>0</v>
      </c>
      <c r="EY14" s="154">
        <f t="shared" si="40"/>
        <v>0</v>
      </c>
      <c r="EZ14" s="154">
        <f t="shared" si="41"/>
        <v>0</v>
      </c>
      <c r="FA14" s="154">
        <f t="shared" si="42"/>
        <v>0</v>
      </c>
      <c r="FB14" s="154">
        <f t="shared" si="43"/>
        <v>0</v>
      </c>
      <c r="FC14" s="154">
        <f t="shared" si="44"/>
        <v>0</v>
      </c>
      <c r="FD14" s="154">
        <f t="shared" si="45"/>
        <v>0</v>
      </c>
      <c r="FE14" s="154">
        <f t="shared" si="46"/>
        <v>0</v>
      </c>
      <c r="FF14" s="154">
        <f t="shared" si="47"/>
        <v>0</v>
      </c>
      <c r="FH14" s="154"/>
      <c r="FI14" s="154"/>
      <c r="FJ14" s="127">
        <v>-0.15553456246230293</v>
      </c>
      <c r="FK14" s="127">
        <v>6.8112155897776958E-2</v>
      </c>
      <c r="FL14" s="127">
        <v>0.18951533661578882</v>
      </c>
      <c r="FM14" s="127"/>
      <c r="FN14" s="127"/>
      <c r="FO14" s="127"/>
      <c r="FP14" s="127"/>
      <c r="FQ14" s="127"/>
      <c r="FS14" s="20">
        <f t="shared" si="61"/>
        <v>0</v>
      </c>
      <c r="FT14" s="20">
        <f t="shared" si="49"/>
        <v>0</v>
      </c>
      <c r="FU14" s="128">
        <f t="shared" si="50"/>
        <v>0</v>
      </c>
      <c r="FV14" s="128">
        <f t="shared" si="51"/>
        <v>0</v>
      </c>
      <c r="FW14" s="128">
        <f t="shared" si="52"/>
        <v>0</v>
      </c>
      <c r="FX14" s="128">
        <f t="shared" si="53"/>
        <v>0</v>
      </c>
      <c r="FY14" s="128">
        <f t="shared" si="54"/>
        <v>0</v>
      </c>
      <c r="FZ14" s="128">
        <f t="shared" si="55"/>
        <v>0</v>
      </c>
      <c r="GA14" s="128">
        <f t="shared" si="56"/>
        <v>0</v>
      </c>
      <c r="GB14" s="128">
        <f t="shared" si="57"/>
        <v>0</v>
      </c>
    </row>
    <row r="15" spans="1:185" ht="13.5">
      <c r="B15" s="19" t="s">
        <v>161</v>
      </c>
      <c r="C15" s="124" t="s">
        <v>155</v>
      </c>
      <c r="D15" s="19" t="s">
        <v>130</v>
      </c>
      <c r="E15" s="153">
        <v>0.1</v>
      </c>
      <c r="F15" s="170">
        <f>(16/16)</f>
        <v>1</v>
      </c>
      <c r="G15" s="151">
        <v>1</v>
      </c>
      <c r="H15" s="19" t="s">
        <v>156</v>
      </c>
      <c r="J15" s="152"/>
      <c r="K15" s="152">
        <v>0</v>
      </c>
      <c r="L15" s="152">
        <v>0</v>
      </c>
      <c r="M15" s="152">
        <v>0</v>
      </c>
      <c r="N15" s="152"/>
      <c r="O15" s="152"/>
      <c r="P15" s="152"/>
      <c r="Q15" s="152"/>
      <c r="R15" s="152"/>
      <c r="S15" s="152"/>
      <c r="U15" s="152"/>
      <c r="V15" s="152"/>
      <c r="W15" s="152"/>
      <c r="X15" s="125"/>
      <c r="Y15" s="125"/>
      <c r="Z15" s="125"/>
      <c r="AA15" s="125"/>
      <c r="AB15" s="125"/>
      <c r="AC15" s="125"/>
      <c r="AD15" s="125"/>
      <c r="AF15" s="165"/>
      <c r="AG15" s="165">
        <v>0.75</v>
      </c>
      <c r="AH15" s="165">
        <v>0.75</v>
      </c>
      <c r="AI15" s="165">
        <v>0.75</v>
      </c>
      <c r="AJ15" s="165">
        <v>0.75</v>
      </c>
      <c r="AK15" s="165"/>
      <c r="AL15" s="165"/>
      <c r="AM15" s="165"/>
      <c r="AN15" s="165"/>
      <c r="AO15" s="165"/>
      <c r="AQ15" s="152"/>
      <c r="AR15" s="152">
        <v>0</v>
      </c>
      <c r="AS15" s="152">
        <v>600</v>
      </c>
      <c r="AT15" s="152">
        <v>1000</v>
      </c>
      <c r="AU15" s="152">
        <v>1000</v>
      </c>
      <c r="AV15" s="152"/>
      <c r="AW15" s="152"/>
      <c r="AX15" s="152"/>
      <c r="AY15" s="152"/>
      <c r="AZ15" s="152"/>
      <c r="BB15" s="152"/>
      <c r="BC15" s="152"/>
      <c r="BD15" s="152"/>
      <c r="BE15" s="152"/>
      <c r="BF15" s="152"/>
      <c r="BG15" s="152"/>
      <c r="BH15" s="152"/>
      <c r="BI15" s="152"/>
      <c r="BJ15" s="152"/>
      <c r="BK15" s="152"/>
      <c r="BM15" s="152"/>
      <c r="BN15" s="152">
        <f t="shared" si="16"/>
        <v>0</v>
      </c>
      <c r="BO15" s="152">
        <f t="shared" si="16"/>
        <v>0</v>
      </c>
      <c r="BP15" s="152">
        <f t="shared" si="16"/>
        <v>0</v>
      </c>
      <c r="BQ15" s="152">
        <f t="shared" si="16"/>
        <v>0</v>
      </c>
      <c r="BR15" s="152">
        <f t="shared" si="16"/>
        <v>0</v>
      </c>
      <c r="BS15" s="152">
        <f t="shared" si="16"/>
        <v>0</v>
      </c>
      <c r="BT15" s="152">
        <f t="shared" si="16"/>
        <v>0</v>
      </c>
      <c r="BU15" s="152">
        <f t="shared" si="16"/>
        <v>0</v>
      </c>
      <c r="BV15" s="152">
        <f t="shared" si="16"/>
        <v>0</v>
      </c>
      <c r="BX15" s="160"/>
      <c r="BY15" s="159"/>
      <c r="BZ15" s="159"/>
      <c r="CA15" s="159"/>
      <c r="CB15" s="159"/>
      <c r="CC15" s="159"/>
      <c r="CD15" s="159"/>
      <c r="CE15" s="159"/>
      <c r="CF15" s="159"/>
      <c r="CG15" s="159"/>
      <c r="CI15" s="128"/>
      <c r="CJ15" s="128">
        <f t="shared" si="17"/>
        <v>0</v>
      </c>
      <c r="CK15" s="128">
        <f t="shared" si="17"/>
        <v>0</v>
      </c>
      <c r="CL15" s="128">
        <f t="shared" si="17"/>
        <v>0</v>
      </c>
      <c r="CM15" s="128"/>
      <c r="CN15" s="128"/>
      <c r="CO15" s="128"/>
      <c r="CP15" s="128"/>
      <c r="CQ15" s="128"/>
      <c r="CR15" s="128"/>
      <c r="CT15" s="168"/>
      <c r="CU15" s="168"/>
      <c r="CV15" s="168"/>
      <c r="CW15" s="168"/>
      <c r="CX15" s="168"/>
      <c r="CY15" s="168"/>
      <c r="CZ15" s="168"/>
      <c r="DA15" s="168"/>
      <c r="DB15" s="168"/>
      <c r="DC15" s="168"/>
      <c r="DE15" s="20">
        <f t="shared" si="58"/>
        <v>0</v>
      </c>
      <c r="DF15" s="128">
        <f t="shared" si="19"/>
        <v>0</v>
      </c>
      <c r="DG15" s="20">
        <f t="shared" si="20"/>
        <v>0</v>
      </c>
      <c r="DH15" s="20">
        <f t="shared" si="21"/>
        <v>0</v>
      </c>
      <c r="DI15" s="20">
        <f t="shared" si="22"/>
        <v>0</v>
      </c>
      <c r="DJ15" s="20">
        <f t="shared" si="23"/>
        <v>0</v>
      </c>
      <c r="DK15" s="20">
        <f t="shared" si="24"/>
        <v>0</v>
      </c>
      <c r="DL15" s="20">
        <f t="shared" si="25"/>
        <v>0</v>
      </c>
      <c r="DM15" s="20">
        <f t="shared" si="26"/>
        <v>0</v>
      </c>
      <c r="DN15" s="20">
        <f t="shared" si="27"/>
        <v>0</v>
      </c>
      <c r="DP15" s="20"/>
      <c r="DQ15" s="20"/>
      <c r="DR15" s="20"/>
      <c r="DS15" s="20"/>
      <c r="DT15" s="20"/>
      <c r="DU15" s="20"/>
      <c r="DV15" s="20"/>
      <c r="DW15" s="20"/>
      <c r="DX15" s="20"/>
      <c r="DY15" s="20"/>
      <c r="EA15" s="20">
        <f t="shared" si="59"/>
        <v>0</v>
      </c>
      <c r="EB15" s="20">
        <f t="shared" si="29"/>
        <v>0</v>
      </c>
      <c r="EC15" s="20">
        <f t="shared" si="30"/>
        <v>0</v>
      </c>
      <c r="ED15" s="20">
        <f t="shared" si="31"/>
        <v>0</v>
      </c>
      <c r="EE15" s="20">
        <f t="shared" si="32"/>
        <v>0</v>
      </c>
      <c r="EF15" s="20">
        <f t="shared" si="33"/>
        <v>0</v>
      </c>
      <c r="EG15" s="20">
        <f t="shared" si="34"/>
        <v>0</v>
      </c>
      <c r="EH15" s="20">
        <f t="shared" si="35"/>
        <v>0</v>
      </c>
      <c r="EI15" s="20">
        <f t="shared" si="36"/>
        <v>0</v>
      </c>
      <c r="EJ15" s="20">
        <f t="shared" si="37"/>
        <v>0</v>
      </c>
      <c r="EL15" s="152"/>
      <c r="EM15" s="152"/>
      <c r="EN15" s="152"/>
      <c r="EO15" s="152"/>
      <c r="EP15" s="152"/>
      <c r="EQ15" s="152"/>
      <c r="ER15" s="152"/>
      <c r="ES15" s="152"/>
      <c r="ET15" s="152"/>
      <c r="EU15" s="152"/>
      <c r="EW15" s="154">
        <f t="shared" si="60"/>
        <v>0</v>
      </c>
      <c r="EX15" s="154">
        <f t="shared" si="39"/>
        <v>0</v>
      </c>
      <c r="EY15" s="154">
        <f t="shared" si="40"/>
        <v>0</v>
      </c>
      <c r="EZ15" s="154">
        <f t="shared" si="41"/>
        <v>0</v>
      </c>
      <c r="FA15" s="154">
        <f t="shared" si="42"/>
        <v>0</v>
      </c>
      <c r="FB15" s="154">
        <f t="shared" si="43"/>
        <v>0</v>
      </c>
      <c r="FC15" s="154">
        <f t="shared" si="44"/>
        <v>0</v>
      </c>
      <c r="FD15" s="154">
        <f t="shared" si="45"/>
        <v>0</v>
      </c>
      <c r="FE15" s="154">
        <f t="shared" si="46"/>
        <v>0</v>
      </c>
      <c r="FF15" s="154">
        <f t="shared" si="47"/>
        <v>0</v>
      </c>
      <c r="FH15" s="154"/>
      <c r="FI15" s="154"/>
      <c r="FJ15" s="127"/>
      <c r="FK15" s="127"/>
      <c r="FL15" s="127"/>
      <c r="FM15" s="127"/>
      <c r="FN15" s="127"/>
      <c r="FO15" s="127"/>
      <c r="FP15" s="127"/>
      <c r="FQ15" s="127"/>
      <c r="FS15" s="20">
        <f t="shared" si="61"/>
        <v>0</v>
      </c>
      <c r="FT15" s="20">
        <f t="shared" si="49"/>
        <v>0</v>
      </c>
      <c r="FU15" s="128">
        <f t="shared" si="50"/>
        <v>0</v>
      </c>
      <c r="FV15" s="128">
        <f t="shared" si="51"/>
        <v>0</v>
      </c>
      <c r="FW15" s="128">
        <f t="shared" si="52"/>
        <v>0</v>
      </c>
      <c r="FX15" s="128">
        <f t="shared" si="53"/>
        <v>0</v>
      </c>
      <c r="FY15" s="128">
        <f t="shared" si="54"/>
        <v>0</v>
      </c>
      <c r="FZ15" s="128">
        <f t="shared" si="55"/>
        <v>0</v>
      </c>
      <c r="GA15" s="128">
        <f t="shared" si="56"/>
        <v>0</v>
      </c>
      <c r="GB15" s="128">
        <f t="shared" si="57"/>
        <v>0</v>
      </c>
    </row>
    <row r="16" spans="1:185" ht="13.5">
      <c r="B16" s="19" t="s">
        <v>438</v>
      </c>
      <c r="C16" s="124" t="s">
        <v>155</v>
      </c>
      <c r="D16" s="19" t="s">
        <v>127</v>
      </c>
      <c r="E16" s="153">
        <v>0.02</v>
      </c>
      <c r="F16" s="170">
        <f>8/16</f>
        <v>0.5</v>
      </c>
      <c r="G16" s="151">
        <v>1</v>
      </c>
      <c r="H16" s="19" t="s">
        <v>158</v>
      </c>
      <c r="J16" s="152"/>
      <c r="K16" s="152">
        <v>0</v>
      </c>
      <c r="L16" s="152">
        <v>0</v>
      </c>
      <c r="M16" s="152">
        <v>0</v>
      </c>
      <c r="N16" s="152"/>
      <c r="O16" s="152"/>
      <c r="P16" s="152"/>
      <c r="Q16" s="152"/>
      <c r="R16" s="152"/>
      <c r="S16" s="152"/>
      <c r="U16" s="152"/>
      <c r="V16" s="152">
        <v>26</v>
      </c>
      <c r="W16" s="152">
        <v>52</v>
      </c>
      <c r="X16" s="152">
        <v>52</v>
      </c>
      <c r="Y16" s="152">
        <v>52</v>
      </c>
      <c r="Z16" s="152">
        <v>52</v>
      </c>
      <c r="AA16" s="152">
        <v>52</v>
      </c>
      <c r="AB16" s="152">
        <v>52</v>
      </c>
      <c r="AC16" s="152">
        <v>52</v>
      </c>
      <c r="AD16" s="152">
        <v>52</v>
      </c>
      <c r="AF16" s="165"/>
      <c r="AG16" s="165">
        <v>1</v>
      </c>
      <c r="AH16" s="165">
        <v>1</v>
      </c>
      <c r="AI16" s="165">
        <v>1</v>
      </c>
      <c r="AJ16" s="165">
        <v>1</v>
      </c>
      <c r="AK16" s="165">
        <v>1</v>
      </c>
      <c r="AL16" s="165">
        <v>1</v>
      </c>
      <c r="AM16" s="165">
        <v>1</v>
      </c>
      <c r="AN16" s="165">
        <v>1</v>
      </c>
      <c r="AO16" s="165">
        <v>1</v>
      </c>
      <c r="AQ16" s="152"/>
      <c r="AR16" s="152">
        <v>1</v>
      </c>
      <c r="AS16" s="152">
        <v>1</v>
      </c>
      <c r="AT16" s="152">
        <v>1</v>
      </c>
      <c r="AU16" s="152">
        <v>1</v>
      </c>
      <c r="AV16" s="152">
        <v>1</v>
      </c>
      <c r="AW16" s="152">
        <v>1</v>
      </c>
      <c r="AX16" s="152">
        <v>1</v>
      </c>
      <c r="AY16" s="152">
        <v>1</v>
      </c>
      <c r="AZ16" s="152">
        <v>1</v>
      </c>
      <c r="BB16" s="152"/>
      <c r="BC16" s="152">
        <v>10</v>
      </c>
      <c r="BD16" s="152">
        <v>10</v>
      </c>
      <c r="BE16" s="152">
        <v>10</v>
      </c>
      <c r="BF16" s="152">
        <v>10</v>
      </c>
      <c r="BG16" s="152">
        <v>10</v>
      </c>
      <c r="BH16" s="152">
        <v>10</v>
      </c>
      <c r="BI16" s="152">
        <v>10</v>
      </c>
      <c r="BJ16" s="152">
        <v>10</v>
      </c>
      <c r="BK16" s="152">
        <v>10</v>
      </c>
      <c r="BM16" s="125"/>
      <c r="BN16" s="125">
        <f t="shared" si="16"/>
        <v>0</v>
      </c>
      <c r="BO16" s="125">
        <f t="shared" si="16"/>
        <v>0</v>
      </c>
      <c r="BP16" s="125">
        <f t="shared" si="16"/>
        <v>0</v>
      </c>
      <c r="BQ16" s="125">
        <f t="shared" si="16"/>
        <v>0</v>
      </c>
      <c r="BR16" s="125">
        <f t="shared" si="16"/>
        <v>0</v>
      </c>
      <c r="BS16" s="125">
        <f t="shared" si="16"/>
        <v>0</v>
      </c>
      <c r="BT16" s="125">
        <f t="shared" si="16"/>
        <v>0</v>
      </c>
      <c r="BU16" s="125">
        <f t="shared" si="16"/>
        <v>0</v>
      </c>
      <c r="BV16" s="125">
        <f t="shared" si="16"/>
        <v>0</v>
      </c>
      <c r="BX16" s="160"/>
      <c r="BY16" s="159">
        <v>25.608703027845277</v>
      </c>
      <c r="BZ16" s="159">
        <v>25.608703027845277</v>
      </c>
      <c r="CA16" s="159">
        <v>26.376964118680636</v>
      </c>
      <c r="CB16" s="159">
        <v>27.168273042241054</v>
      </c>
      <c r="CC16" s="159">
        <v>27.983321233508288</v>
      </c>
      <c r="CD16" s="159">
        <v>28.822820870513539</v>
      </c>
      <c r="CE16" s="159">
        <v>30.091024988816134</v>
      </c>
      <c r="CF16" s="159">
        <v>31.415030088324045</v>
      </c>
      <c r="CG16" s="159">
        <v>32.797291412210306</v>
      </c>
      <c r="CI16" s="128"/>
      <c r="CJ16" s="128">
        <f t="shared" si="17"/>
        <v>0</v>
      </c>
      <c r="CK16" s="128">
        <f t="shared" si="17"/>
        <v>0</v>
      </c>
      <c r="CL16" s="128">
        <v>0</v>
      </c>
      <c r="CM16" s="128"/>
      <c r="CN16" s="128"/>
      <c r="CO16" s="128"/>
      <c r="CP16" s="128"/>
      <c r="CQ16" s="128"/>
      <c r="CR16" s="128"/>
      <c r="CT16" s="25"/>
      <c r="CU16" s="168">
        <v>0.25</v>
      </c>
      <c r="CV16" s="168">
        <v>0.25</v>
      </c>
      <c r="CW16" s="168">
        <v>0.25</v>
      </c>
      <c r="CX16" s="168">
        <v>0.25</v>
      </c>
      <c r="CY16" s="168"/>
      <c r="CZ16" s="168"/>
      <c r="DA16" s="168"/>
      <c r="DB16" s="168"/>
      <c r="DC16" s="168"/>
      <c r="DE16" s="20">
        <f t="shared" si="58"/>
        <v>0</v>
      </c>
      <c r="DF16" s="128">
        <f t="shared" si="19"/>
        <v>0</v>
      </c>
      <c r="DG16" s="20">
        <f t="shared" si="20"/>
        <v>0</v>
      </c>
      <c r="DH16" s="20">
        <f t="shared" si="21"/>
        <v>0</v>
      </c>
      <c r="DI16" s="20">
        <f t="shared" si="22"/>
        <v>0</v>
      </c>
      <c r="DJ16" s="20">
        <f t="shared" si="23"/>
        <v>0</v>
      </c>
      <c r="DK16" s="20">
        <f t="shared" si="24"/>
        <v>0</v>
      </c>
      <c r="DL16" s="20">
        <f t="shared" si="25"/>
        <v>0</v>
      </c>
      <c r="DM16" s="20">
        <f t="shared" si="26"/>
        <v>0</v>
      </c>
      <c r="DN16" s="20">
        <f t="shared" si="27"/>
        <v>0</v>
      </c>
      <c r="DP16" s="20"/>
      <c r="DQ16" s="20"/>
      <c r="DR16" s="20"/>
      <c r="DS16" s="20"/>
      <c r="DT16" s="20"/>
      <c r="DU16" s="20"/>
      <c r="DV16" s="20"/>
      <c r="DW16" s="20"/>
      <c r="DX16" s="20"/>
      <c r="DY16" s="20"/>
      <c r="EA16" s="20">
        <f t="shared" si="59"/>
        <v>0</v>
      </c>
      <c r="EB16" s="20">
        <f t="shared" si="29"/>
        <v>0</v>
      </c>
      <c r="EC16" s="20">
        <f t="shared" si="30"/>
        <v>0</v>
      </c>
      <c r="ED16" s="20">
        <f t="shared" si="31"/>
        <v>0</v>
      </c>
      <c r="EE16" s="20">
        <f t="shared" si="32"/>
        <v>0</v>
      </c>
      <c r="EF16" s="20">
        <f t="shared" si="33"/>
        <v>0</v>
      </c>
      <c r="EG16" s="20">
        <f t="shared" si="34"/>
        <v>0</v>
      </c>
      <c r="EH16" s="20">
        <f t="shared" si="35"/>
        <v>0</v>
      </c>
      <c r="EI16" s="20">
        <f t="shared" si="36"/>
        <v>0</v>
      </c>
      <c r="EJ16" s="20">
        <f t="shared" si="37"/>
        <v>0</v>
      </c>
      <c r="EL16" s="152"/>
      <c r="EM16" s="152"/>
      <c r="EN16" s="152"/>
      <c r="EO16" s="152"/>
      <c r="EP16" s="152"/>
      <c r="EQ16" s="152"/>
      <c r="ER16" s="152"/>
      <c r="ES16" s="152"/>
      <c r="ET16" s="152"/>
      <c r="EU16" s="152"/>
      <c r="EW16" s="154">
        <f t="shared" si="60"/>
        <v>0</v>
      </c>
      <c r="EX16" s="154">
        <f t="shared" si="39"/>
        <v>0</v>
      </c>
      <c r="EY16" s="154">
        <f t="shared" si="40"/>
        <v>0</v>
      </c>
      <c r="EZ16" s="154">
        <f t="shared" si="41"/>
        <v>0</v>
      </c>
      <c r="FA16" s="154">
        <f t="shared" si="42"/>
        <v>0</v>
      </c>
      <c r="FB16" s="154">
        <f t="shared" si="43"/>
        <v>0</v>
      </c>
      <c r="FC16" s="154">
        <f t="shared" si="44"/>
        <v>0</v>
      </c>
      <c r="FD16" s="154">
        <f t="shared" si="45"/>
        <v>0</v>
      </c>
      <c r="FE16" s="154">
        <f t="shared" si="46"/>
        <v>0</v>
      </c>
      <c r="FF16" s="154">
        <f t="shared" si="47"/>
        <v>0</v>
      </c>
      <c r="FH16" s="154"/>
      <c r="FI16" s="154">
        <v>0</v>
      </c>
      <c r="FJ16" s="127">
        <v>0</v>
      </c>
      <c r="FK16" s="127">
        <v>0</v>
      </c>
      <c r="FL16" s="127">
        <v>0</v>
      </c>
      <c r="FM16" s="127"/>
      <c r="FN16" s="127"/>
      <c r="FO16" s="127"/>
      <c r="FP16" s="127"/>
      <c r="FQ16" s="127"/>
      <c r="FS16" s="20">
        <f t="shared" si="61"/>
        <v>0</v>
      </c>
      <c r="FT16" s="20">
        <f t="shared" si="49"/>
        <v>0</v>
      </c>
      <c r="FU16" s="128">
        <f t="shared" si="50"/>
        <v>0</v>
      </c>
      <c r="FV16" s="128">
        <f t="shared" si="51"/>
        <v>0</v>
      </c>
      <c r="FW16" s="128">
        <f t="shared" si="52"/>
        <v>0</v>
      </c>
      <c r="FX16" s="128">
        <f t="shared" si="53"/>
        <v>0</v>
      </c>
      <c r="FY16" s="128">
        <f t="shared" si="54"/>
        <v>0</v>
      </c>
      <c r="FZ16" s="128">
        <f t="shared" si="55"/>
        <v>0</v>
      </c>
      <c r="GA16" s="128">
        <f t="shared" si="56"/>
        <v>0</v>
      </c>
      <c r="GB16" s="128">
        <f t="shared" si="57"/>
        <v>0</v>
      </c>
    </row>
    <row r="17" spans="2:184" ht="13.5">
      <c r="B17" s="19" t="s">
        <v>164</v>
      </c>
      <c r="C17" s="124" t="s">
        <v>155</v>
      </c>
      <c r="D17" s="19" t="s">
        <v>131</v>
      </c>
      <c r="E17" s="153">
        <v>0.02</v>
      </c>
      <c r="F17" s="170">
        <f>128/16</f>
        <v>8</v>
      </c>
      <c r="G17" s="151">
        <v>1</v>
      </c>
      <c r="H17" s="19" t="s">
        <v>162</v>
      </c>
      <c r="J17" s="152"/>
      <c r="K17" s="152">
        <v>0</v>
      </c>
      <c r="L17" s="152">
        <v>0</v>
      </c>
      <c r="M17" s="152">
        <v>0</v>
      </c>
      <c r="N17" s="152"/>
      <c r="O17" s="152"/>
      <c r="P17" s="152"/>
      <c r="Q17" s="152"/>
      <c r="R17" s="152"/>
      <c r="S17" s="152"/>
      <c r="U17" s="152"/>
      <c r="V17" s="152"/>
      <c r="W17" s="152"/>
      <c r="X17" s="152"/>
      <c r="Y17" s="152"/>
      <c r="Z17" s="152"/>
      <c r="AA17" s="152"/>
      <c r="AB17" s="152"/>
      <c r="AC17" s="152"/>
      <c r="AD17" s="152"/>
      <c r="AF17" s="165"/>
      <c r="AG17" s="165">
        <v>0.75</v>
      </c>
      <c r="AH17" s="165">
        <v>0.75</v>
      </c>
      <c r="AI17" s="165">
        <v>0.75</v>
      </c>
      <c r="AJ17" s="165">
        <v>0.75</v>
      </c>
      <c r="AK17" s="165"/>
      <c r="AL17" s="165"/>
      <c r="AM17" s="165"/>
      <c r="AN17" s="165"/>
      <c r="AO17" s="165"/>
      <c r="AQ17" s="152"/>
      <c r="AR17" s="152">
        <v>0</v>
      </c>
      <c r="AS17" s="152">
        <v>1000</v>
      </c>
      <c r="AT17" s="152">
        <v>1000</v>
      </c>
      <c r="AU17" s="152">
        <v>1000</v>
      </c>
      <c r="AV17" s="152"/>
      <c r="AW17" s="152"/>
      <c r="AX17" s="152"/>
      <c r="AY17" s="152"/>
      <c r="AZ17" s="152"/>
      <c r="BB17" s="152"/>
      <c r="BC17" s="152"/>
      <c r="BD17" s="152"/>
      <c r="BE17" s="152"/>
      <c r="BF17" s="152"/>
      <c r="BG17" s="152"/>
      <c r="BH17" s="152"/>
      <c r="BI17" s="152"/>
      <c r="BJ17" s="152"/>
      <c r="BK17" s="152"/>
      <c r="BM17" s="152"/>
      <c r="BN17" s="152">
        <f t="shared" si="16"/>
        <v>0</v>
      </c>
      <c r="BO17" s="152">
        <f t="shared" si="16"/>
        <v>0</v>
      </c>
      <c r="BP17" s="152">
        <f t="shared" si="16"/>
        <v>0</v>
      </c>
      <c r="BQ17" s="152">
        <f t="shared" si="16"/>
        <v>0</v>
      </c>
      <c r="BR17" s="152">
        <f t="shared" si="16"/>
        <v>0</v>
      </c>
      <c r="BS17" s="152">
        <f t="shared" si="16"/>
        <v>0</v>
      </c>
      <c r="BT17" s="152">
        <f t="shared" si="16"/>
        <v>0</v>
      </c>
      <c r="BU17" s="152">
        <f t="shared" si="16"/>
        <v>0</v>
      </c>
      <c r="BV17" s="152">
        <f t="shared" si="16"/>
        <v>0</v>
      </c>
      <c r="BX17" s="160"/>
      <c r="BY17" s="159"/>
      <c r="BZ17" s="159"/>
      <c r="CA17" s="159"/>
      <c r="CB17" s="159"/>
      <c r="CC17" s="159"/>
      <c r="CD17" s="159"/>
      <c r="CE17" s="159"/>
      <c r="CF17" s="159"/>
      <c r="CG17" s="159"/>
      <c r="CI17" s="128"/>
      <c r="CJ17" s="128">
        <f t="shared" si="17"/>
        <v>0</v>
      </c>
      <c r="CK17" s="128">
        <f t="shared" si="17"/>
        <v>0</v>
      </c>
      <c r="CL17" s="128">
        <f t="shared" si="17"/>
        <v>0</v>
      </c>
      <c r="CM17" s="128"/>
      <c r="CN17" s="128"/>
      <c r="CO17" s="128"/>
      <c r="CP17" s="128"/>
      <c r="CQ17" s="128"/>
      <c r="CR17" s="128"/>
      <c r="CT17" s="25"/>
      <c r="CU17" s="168"/>
      <c r="CV17" s="168"/>
      <c r="CW17" s="168"/>
      <c r="CX17" s="168"/>
      <c r="CY17" s="168"/>
      <c r="CZ17" s="168"/>
      <c r="DA17" s="168"/>
      <c r="DB17" s="168"/>
      <c r="DC17" s="168"/>
      <c r="DE17" s="20">
        <f t="shared" si="58"/>
        <v>0</v>
      </c>
      <c r="DF17" s="128">
        <f t="shared" si="19"/>
        <v>0</v>
      </c>
      <c r="DG17" s="20">
        <f t="shared" si="20"/>
        <v>0</v>
      </c>
      <c r="DH17" s="20">
        <f t="shared" si="21"/>
        <v>0</v>
      </c>
      <c r="DI17" s="20">
        <f t="shared" si="22"/>
        <v>0</v>
      </c>
      <c r="DJ17" s="20">
        <f t="shared" si="23"/>
        <v>0</v>
      </c>
      <c r="DK17" s="20">
        <f t="shared" si="24"/>
        <v>0</v>
      </c>
      <c r="DL17" s="20">
        <f t="shared" si="25"/>
        <v>0</v>
      </c>
      <c r="DM17" s="20">
        <f t="shared" si="26"/>
        <v>0</v>
      </c>
      <c r="DN17" s="20">
        <f t="shared" si="27"/>
        <v>0</v>
      </c>
      <c r="DP17" s="20"/>
      <c r="DQ17" s="20"/>
      <c r="DR17" s="20"/>
      <c r="DS17" s="20"/>
      <c r="DT17" s="20"/>
      <c r="DU17" s="20"/>
      <c r="DV17" s="20"/>
      <c r="DW17" s="20"/>
      <c r="DX17" s="20"/>
      <c r="DY17" s="20"/>
      <c r="EA17" s="20">
        <f t="shared" si="59"/>
        <v>0</v>
      </c>
      <c r="EB17" s="20">
        <f t="shared" si="29"/>
        <v>0</v>
      </c>
      <c r="EC17" s="20">
        <f t="shared" si="30"/>
        <v>0</v>
      </c>
      <c r="ED17" s="20">
        <f t="shared" si="31"/>
        <v>0</v>
      </c>
      <c r="EE17" s="20">
        <f t="shared" si="32"/>
        <v>0</v>
      </c>
      <c r="EF17" s="20">
        <f t="shared" si="33"/>
        <v>0</v>
      </c>
      <c r="EG17" s="20">
        <f t="shared" si="34"/>
        <v>0</v>
      </c>
      <c r="EH17" s="20">
        <f t="shared" si="35"/>
        <v>0</v>
      </c>
      <c r="EI17" s="20">
        <f t="shared" si="36"/>
        <v>0</v>
      </c>
      <c r="EJ17" s="20">
        <f t="shared" si="37"/>
        <v>0</v>
      </c>
      <c r="EL17" s="152"/>
      <c r="EM17" s="152"/>
      <c r="EN17" s="152"/>
      <c r="EO17" s="152"/>
      <c r="EP17" s="152"/>
      <c r="EQ17" s="152"/>
      <c r="ER17" s="152"/>
      <c r="ES17" s="152"/>
      <c r="ET17" s="152"/>
      <c r="EU17" s="152"/>
      <c r="EW17" s="154">
        <f t="shared" si="60"/>
        <v>0</v>
      </c>
      <c r="EX17" s="154">
        <f t="shared" si="39"/>
        <v>0</v>
      </c>
      <c r="EY17" s="154">
        <f t="shared" si="40"/>
        <v>0</v>
      </c>
      <c r="EZ17" s="154">
        <f t="shared" si="41"/>
        <v>0</v>
      </c>
      <c r="FA17" s="154">
        <f t="shared" si="42"/>
        <v>0</v>
      </c>
      <c r="FB17" s="154">
        <f t="shared" si="43"/>
        <v>0</v>
      </c>
      <c r="FC17" s="154">
        <f t="shared" si="44"/>
        <v>0</v>
      </c>
      <c r="FD17" s="154">
        <f t="shared" si="45"/>
        <v>0</v>
      </c>
      <c r="FE17" s="154">
        <f t="shared" si="46"/>
        <v>0</v>
      </c>
      <c r="FF17" s="154">
        <f t="shared" si="47"/>
        <v>0</v>
      </c>
      <c r="FH17" s="154"/>
      <c r="FI17" s="154"/>
      <c r="FJ17" s="127"/>
      <c r="FK17" s="127"/>
      <c r="FL17" s="127"/>
      <c r="FM17" s="127"/>
      <c r="FN17" s="127"/>
      <c r="FO17" s="127"/>
      <c r="FP17" s="127"/>
      <c r="FQ17" s="127"/>
      <c r="FS17" s="20">
        <f t="shared" si="61"/>
        <v>0</v>
      </c>
      <c r="FT17" s="20">
        <f t="shared" si="49"/>
        <v>0</v>
      </c>
      <c r="FU17" s="128">
        <f t="shared" si="50"/>
        <v>0</v>
      </c>
      <c r="FV17" s="128">
        <f t="shared" si="51"/>
        <v>0</v>
      </c>
      <c r="FW17" s="128">
        <f t="shared" si="52"/>
        <v>0</v>
      </c>
      <c r="FX17" s="128">
        <f t="shared" si="53"/>
        <v>0</v>
      </c>
      <c r="FY17" s="128">
        <f t="shared" si="54"/>
        <v>0</v>
      </c>
      <c r="FZ17" s="128">
        <f t="shared" si="55"/>
        <v>0</v>
      </c>
      <c r="GA17" s="128">
        <f t="shared" si="56"/>
        <v>0</v>
      </c>
      <c r="GB17" s="128">
        <f t="shared" si="57"/>
        <v>0</v>
      </c>
    </row>
    <row r="18" spans="2:184" ht="13.5">
      <c r="B18" s="19" t="s">
        <v>165</v>
      </c>
      <c r="C18" s="124" t="s">
        <v>155</v>
      </c>
      <c r="D18" s="19" t="s">
        <v>121</v>
      </c>
      <c r="E18" s="153">
        <v>0.02</v>
      </c>
      <c r="F18" s="170">
        <f>32/16</f>
        <v>2</v>
      </c>
      <c r="G18" s="151">
        <v>1</v>
      </c>
      <c r="H18" s="19" t="s">
        <v>163</v>
      </c>
      <c r="J18" s="152"/>
      <c r="K18" s="152">
        <v>3</v>
      </c>
      <c r="L18" s="152">
        <v>3.75</v>
      </c>
      <c r="M18" s="152">
        <f>L18</f>
        <v>3.75</v>
      </c>
      <c r="N18" s="152"/>
      <c r="O18" s="152"/>
      <c r="P18" s="152"/>
      <c r="Q18" s="152"/>
      <c r="R18" s="152"/>
      <c r="S18" s="152"/>
      <c r="U18" s="152"/>
      <c r="V18" s="152">
        <v>52</v>
      </c>
      <c r="W18" s="152">
        <v>52</v>
      </c>
      <c r="X18" s="152">
        <v>52</v>
      </c>
      <c r="Y18" s="152">
        <v>52</v>
      </c>
      <c r="Z18" s="152">
        <v>52</v>
      </c>
      <c r="AA18" s="152">
        <v>52</v>
      </c>
      <c r="AB18" s="152">
        <v>52</v>
      </c>
      <c r="AC18" s="152">
        <v>52</v>
      </c>
      <c r="AD18" s="152">
        <v>52</v>
      </c>
      <c r="AF18" s="165"/>
      <c r="AG18" s="165">
        <v>0.5</v>
      </c>
      <c r="AH18" s="165">
        <v>0.5</v>
      </c>
      <c r="AI18" s="165">
        <v>0.5</v>
      </c>
      <c r="AJ18" s="165">
        <v>0.5</v>
      </c>
      <c r="AK18" s="165">
        <v>0.5</v>
      </c>
      <c r="AL18" s="165">
        <v>0.5</v>
      </c>
      <c r="AM18" s="165">
        <v>0.5</v>
      </c>
      <c r="AN18" s="165">
        <v>0.5</v>
      </c>
      <c r="AO18" s="165">
        <v>0.5</v>
      </c>
      <c r="AQ18" s="152"/>
      <c r="AR18" s="152">
        <v>3751.0564122670876</v>
      </c>
      <c r="AS18" s="152">
        <v>1000</v>
      </c>
      <c r="AT18" s="152">
        <v>300</v>
      </c>
      <c r="AU18" s="152">
        <f t="shared" ref="AU18:AZ18" si="62">AT18*0.5</f>
        <v>150</v>
      </c>
      <c r="AV18" s="152">
        <f t="shared" si="62"/>
        <v>75</v>
      </c>
      <c r="AW18" s="152">
        <f t="shared" si="62"/>
        <v>37.5</v>
      </c>
      <c r="AX18" s="152">
        <f t="shared" si="62"/>
        <v>18.75</v>
      </c>
      <c r="AY18" s="152">
        <f t="shared" si="62"/>
        <v>9.375</v>
      </c>
      <c r="AZ18" s="152">
        <f t="shared" si="62"/>
        <v>4.6875</v>
      </c>
      <c r="BB18" s="152"/>
      <c r="BC18" s="152">
        <v>10</v>
      </c>
      <c r="BD18" s="152">
        <v>10</v>
      </c>
      <c r="BE18" s="152">
        <v>10</v>
      </c>
      <c r="BF18" s="152">
        <v>10</v>
      </c>
      <c r="BG18" s="152">
        <v>10</v>
      </c>
      <c r="BH18" s="152">
        <v>10</v>
      </c>
      <c r="BI18" s="152">
        <v>10</v>
      </c>
      <c r="BJ18" s="152">
        <v>10</v>
      </c>
      <c r="BK18" s="152">
        <v>10</v>
      </c>
      <c r="BM18" s="152"/>
      <c r="BN18" s="152">
        <f>(K18*V18*AG18*AR18*BC18)/1000</f>
        <v>2925.8240015683282</v>
      </c>
      <c r="BO18" s="152">
        <f>(L18*W18*AH18*AS18*BD18)/1000</f>
        <v>975</v>
      </c>
      <c r="BP18" s="152">
        <f>(M18*X18*AI18*AT18*BE18)/1000</f>
        <v>292.5</v>
      </c>
      <c r="BQ18" s="152">
        <f>(N18*Y18*AJ18*AU18*BF18)/1000</f>
        <v>0</v>
      </c>
      <c r="BR18" s="152">
        <f t="shared" si="16"/>
        <v>0</v>
      </c>
      <c r="BS18" s="152">
        <f t="shared" si="16"/>
        <v>0</v>
      </c>
      <c r="BT18" s="152">
        <f t="shared" si="16"/>
        <v>0</v>
      </c>
      <c r="BU18" s="152">
        <f t="shared" si="16"/>
        <v>0</v>
      </c>
      <c r="BV18" s="152">
        <f t="shared" si="16"/>
        <v>0</v>
      </c>
      <c r="BX18" s="160"/>
      <c r="BY18" s="159">
        <v>3.69</v>
      </c>
      <c r="BZ18" s="159">
        <v>3.69</v>
      </c>
      <c r="CA18" s="159">
        <v>3.8007</v>
      </c>
      <c r="CB18" s="159">
        <v>3.9147210000000001</v>
      </c>
      <c r="CC18" s="159">
        <v>4.0321626300000002</v>
      </c>
      <c r="CD18" s="159">
        <v>4.1531275088999999</v>
      </c>
      <c r="CE18" s="159">
        <v>4.3358651192915998</v>
      </c>
      <c r="CF18" s="159">
        <v>4.52664318454043</v>
      </c>
      <c r="CG18" s="159">
        <v>4.7258154846602087</v>
      </c>
      <c r="CI18" s="128"/>
      <c r="CJ18" s="128">
        <f t="shared" si="17"/>
        <v>10796.290565787131</v>
      </c>
      <c r="CK18" s="128">
        <f t="shared" si="17"/>
        <v>3597.75</v>
      </c>
      <c r="CL18" s="128">
        <f t="shared" si="17"/>
        <v>1111.7047500000001</v>
      </c>
      <c r="CM18" s="128"/>
      <c r="CN18" s="128"/>
      <c r="CO18" s="128"/>
      <c r="CP18" s="128"/>
      <c r="CQ18" s="128"/>
      <c r="CR18" s="128"/>
      <c r="CT18" s="25"/>
      <c r="CU18" s="168">
        <v>0.33684386288437135</v>
      </c>
      <c r="CV18" s="168">
        <v>0.2</v>
      </c>
      <c r="CW18" s="168">
        <v>0.2</v>
      </c>
      <c r="CX18" s="168">
        <v>0.2</v>
      </c>
      <c r="CY18" s="168"/>
      <c r="CZ18" s="168"/>
      <c r="DA18" s="168"/>
      <c r="DB18" s="168"/>
      <c r="DC18" s="168"/>
      <c r="DE18" s="20">
        <f t="shared" si="58"/>
        <v>0</v>
      </c>
      <c r="DF18" s="128">
        <f t="shared" si="19"/>
        <v>-3636.6642190018324</v>
      </c>
      <c r="DG18" s="20">
        <f t="shared" si="20"/>
        <v>-719.55000000000007</v>
      </c>
      <c r="DH18" s="20">
        <f t="shared" si="21"/>
        <v>-222.34095000000002</v>
      </c>
      <c r="DI18" s="20">
        <f t="shared" si="22"/>
        <v>0</v>
      </c>
      <c r="DJ18" s="20">
        <f t="shared" si="23"/>
        <v>0</v>
      </c>
      <c r="DK18" s="20">
        <f t="shared" si="24"/>
        <v>0</v>
      </c>
      <c r="DL18" s="20">
        <f t="shared" si="25"/>
        <v>0</v>
      </c>
      <c r="DM18" s="20">
        <f t="shared" si="26"/>
        <v>0</v>
      </c>
      <c r="DN18" s="20">
        <f t="shared" si="27"/>
        <v>0</v>
      </c>
      <c r="DP18" s="20"/>
      <c r="DQ18" s="20"/>
      <c r="DR18" s="20"/>
      <c r="DS18" s="20"/>
      <c r="DT18" s="20"/>
      <c r="DU18" s="20"/>
      <c r="DV18" s="20"/>
      <c r="DW18" s="20"/>
      <c r="DX18" s="20"/>
      <c r="DY18" s="20"/>
      <c r="EA18" s="20">
        <f t="shared" si="59"/>
        <v>0</v>
      </c>
      <c r="EB18" s="20">
        <f t="shared" si="29"/>
        <v>7159.6263467852987</v>
      </c>
      <c r="EC18" s="20">
        <f t="shared" si="30"/>
        <v>2878.2</v>
      </c>
      <c r="ED18" s="20">
        <f t="shared" si="31"/>
        <v>889.36380000000008</v>
      </c>
      <c r="EE18" s="20">
        <f t="shared" si="32"/>
        <v>0</v>
      </c>
      <c r="EF18" s="20">
        <f t="shared" si="33"/>
        <v>0</v>
      </c>
      <c r="EG18" s="20">
        <f t="shared" si="34"/>
        <v>0</v>
      </c>
      <c r="EH18" s="20">
        <f t="shared" si="35"/>
        <v>0</v>
      </c>
      <c r="EI18" s="20">
        <f t="shared" si="36"/>
        <v>0</v>
      </c>
      <c r="EJ18" s="20">
        <f t="shared" si="37"/>
        <v>0</v>
      </c>
      <c r="EL18" s="152"/>
      <c r="EM18" s="152"/>
      <c r="EN18" s="152"/>
      <c r="EO18" s="152"/>
      <c r="EP18" s="152"/>
      <c r="EQ18" s="152"/>
      <c r="ER18" s="152"/>
      <c r="ES18" s="152"/>
      <c r="ET18" s="152"/>
      <c r="EU18" s="152"/>
      <c r="EW18" s="154">
        <f t="shared" si="60"/>
        <v>0</v>
      </c>
      <c r="EX18" s="154">
        <f t="shared" si="39"/>
        <v>0</v>
      </c>
      <c r="EY18" s="154">
        <f t="shared" si="40"/>
        <v>0</v>
      </c>
      <c r="EZ18" s="154">
        <f t="shared" si="41"/>
        <v>0</v>
      </c>
      <c r="FA18" s="154">
        <f t="shared" si="42"/>
        <v>0</v>
      </c>
      <c r="FB18" s="154">
        <f t="shared" si="43"/>
        <v>0</v>
      </c>
      <c r="FC18" s="154">
        <f t="shared" si="44"/>
        <v>0</v>
      </c>
      <c r="FD18" s="154">
        <f t="shared" si="45"/>
        <v>0</v>
      </c>
      <c r="FE18" s="154">
        <f t="shared" si="46"/>
        <v>0</v>
      </c>
      <c r="FF18" s="154">
        <f t="shared" si="47"/>
        <v>0</v>
      </c>
      <c r="FH18" s="154"/>
      <c r="FI18" s="154">
        <v>-0.17387963803155693</v>
      </c>
      <c r="FJ18" s="127">
        <v>-0.05</v>
      </c>
      <c r="FK18" s="127">
        <v>0.12</v>
      </c>
      <c r="FL18" s="127">
        <v>0.17</v>
      </c>
      <c r="FM18" s="127"/>
      <c r="FN18" s="127"/>
      <c r="FO18" s="127"/>
      <c r="FP18" s="127"/>
      <c r="FQ18" s="127"/>
      <c r="FS18" s="20">
        <f t="shared" si="61"/>
        <v>0</v>
      </c>
      <c r="FT18" s="20">
        <f t="shared" si="49"/>
        <v>8404.5395844055238</v>
      </c>
      <c r="FU18" s="128">
        <f t="shared" si="50"/>
        <v>3022.11</v>
      </c>
      <c r="FV18" s="128">
        <f t="shared" si="51"/>
        <v>782.64014400000008</v>
      </c>
      <c r="FW18" s="128">
        <f t="shared" si="52"/>
        <v>0</v>
      </c>
      <c r="FX18" s="128">
        <f t="shared" si="53"/>
        <v>0</v>
      </c>
      <c r="FY18" s="128">
        <f t="shared" si="54"/>
        <v>0</v>
      </c>
      <c r="FZ18" s="128">
        <f t="shared" si="55"/>
        <v>0</v>
      </c>
      <c r="GA18" s="128">
        <f t="shared" si="56"/>
        <v>0</v>
      </c>
      <c r="GB18" s="128">
        <f t="shared" si="57"/>
        <v>0</v>
      </c>
    </row>
    <row r="19" spans="2:184" ht="13.5">
      <c r="B19" s="19" t="s">
        <v>166</v>
      </c>
      <c r="C19" s="124" t="s">
        <v>155</v>
      </c>
      <c r="D19" s="19" t="s">
        <v>121</v>
      </c>
      <c r="E19" s="153"/>
      <c r="F19" s="170"/>
      <c r="G19" s="151"/>
      <c r="H19" s="19"/>
      <c r="J19" s="152"/>
      <c r="K19" s="152"/>
      <c r="L19" s="152"/>
      <c r="M19" s="152"/>
      <c r="N19" s="152"/>
      <c r="O19" s="152"/>
      <c r="P19" s="152"/>
      <c r="Q19" s="152"/>
      <c r="R19" s="152"/>
      <c r="S19" s="152"/>
      <c r="U19" s="152"/>
      <c r="V19" s="152"/>
      <c r="W19" s="125"/>
      <c r="X19" s="125"/>
      <c r="Y19" s="125"/>
      <c r="Z19" s="125"/>
      <c r="AA19" s="125"/>
      <c r="AB19" s="125"/>
      <c r="AC19" s="125"/>
      <c r="AD19" s="125"/>
      <c r="AF19" s="165"/>
      <c r="AG19" s="165"/>
      <c r="AH19" s="165"/>
      <c r="AI19" s="165"/>
      <c r="AJ19" s="165"/>
      <c r="AK19" s="165"/>
      <c r="AL19" s="165"/>
      <c r="AM19" s="165"/>
      <c r="AN19" s="165"/>
      <c r="AO19" s="165"/>
      <c r="AQ19" s="152"/>
      <c r="AR19" s="152">
        <v>0</v>
      </c>
      <c r="AS19" s="152">
        <v>0</v>
      </c>
      <c r="AT19" s="152">
        <v>0</v>
      </c>
      <c r="AU19" s="152">
        <v>0</v>
      </c>
      <c r="AV19" s="152"/>
      <c r="AW19" s="152"/>
      <c r="AX19" s="152"/>
      <c r="AY19" s="152"/>
      <c r="AZ19" s="152"/>
      <c r="BB19" s="152"/>
      <c r="BC19" s="152"/>
      <c r="BD19" s="152"/>
      <c r="BE19" s="152"/>
      <c r="BF19" s="152"/>
      <c r="BG19" s="152"/>
      <c r="BH19" s="152"/>
      <c r="BI19" s="152"/>
      <c r="BJ19" s="152"/>
      <c r="BK19" s="152"/>
      <c r="BM19" s="152"/>
      <c r="BN19" s="152">
        <f t="shared" ref="BN19" si="63">CJ19/BY18</f>
        <v>813.00813008130081</v>
      </c>
      <c r="BO19" s="152"/>
      <c r="BP19" s="152"/>
      <c r="BQ19" s="152"/>
      <c r="BR19" s="152"/>
      <c r="BS19" s="152"/>
      <c r="BT19" s="152"/>
      <c r="BU19" s="152"/>
      <c r="BV19" s="152"/>
      <c r="BX19" s="160"/>
      <c r="BY19" s="159"/>
      <c r="BZ19" s="159"/>
      <c r="CA19" s="159"/>
      <c r="CB19" s="159"/>
      <c r="CC19" s="159"/>
      <c r="CD19" s="159"/>
      <c r="CE19" s="159"/>
      <c r="CF19" s="159"/>
      <c r="CG19" s="159"/>
      <c r="CI19" s="128"/>
      <c r="CJ19" s="128">
        <v>3000</v>
      </c>
      <c r="CK19" s="128">
        <v>1000</v>
      </c>
      <c r="CL19" s="128">
        <f>CK19*0.8</f>
        <v>800</v>
      </c>
      <c r="CM19" s="128"/>
      <c r="CN19" s="128"/>
      <c r="CO19" s="128"/>
      <c r="CP19" s="128"/>
      <c r="CQ19" s="128"/>
      <c r="CR19" s="128"/>
      <c r="CT19" s="25"/>
      <c r="CU19" s="168"/>
      <c r="CV19" s="168"/>
      <c r="CW19" s="168"/>
      <c r="CX19" s="168"/>
      <c r="CY19" s="168"/>
      <c r="CZ19" s="168"/>
      <c r="DA19" s="168"/>
      <c r="DB19" s="168"/>
      <c r="DC19" s="168"/>
      <c r="DE19" s="20">
        <f t="shared" si="58"/>
        <v>0</v>
      </c>
      <c r="DF19" s="20">
        <f t="shared" si="19"/>
        <v>0</v>
      </c>
      <c r="DG19" s="20">
        <f t="shared" si="20"/>
        <v>0</v>
      </c>
      <c r="DH19" s="20">
        <f t="shared" si="21"/>
        <v>0</v>
      </c>
      <c r="DI19" s="20">
        <f t="shared" si="22"/>
        <v>0</v>
      </c>
      <c r="DJ19" s="20">
        <f t="shared" si="23"/>
        <v>0</v>
      </c>
      <c r="DK19" s="20">
        <f t="shared" si="24"/>
        <v>0</v>
      </c>
      <c r="DL19" s="20">
        <f t="shared" si="25"/>
        <v>0</v>
      </c>
      <c r="DM19" s="20">
        <f t="shared" si="26"/>
        <v>0</v>
      </c>
      <c r="DN19" s="20">
        <f t="shared" si="27"/>
        <v>0</v>
      </c>
      <c r="DP19" s="20"/>
      <c r="DQ19" s="20"/>
      <c r="DR19" s="20"/>
      <c r="DS19" s="20"/>
      <c r="DT19" s="20"/>
      <c r="DU19" s="20"/>
      <c r="DV19" s="20"/>
      <c r="DW19" s="20"/>
      <c r="DX19" s="20"/>
      <c r="DY19" s="20"/>
      <c r="EA19" s="20">
        <f t="shared" si="59"/>
        <v>0</v>
      </c>
      <c r="EB19" s="20">
        <f t="shared" si="29"/>
        <v>3000</v>
      </c>
      <c r="EC19" s="20">
        <f t="shared" si="30"/>
        <v>1000</v>
      </c>
      <c r="ED19" s="20">
        <f t="shared" si="31"/>
        <v>800</v>
      </c>
      <c r="EE19" s="20">
        <f t="shared" si="32"/>
        <v>0</v>
      </c>
      <c r="EF19" s="20">
        <f t="shared" si="33"/>
        <v>0</v>
      </c>
      <c r="EG19" s="20">
        <f t="shared" si="34"/>
        <v>0</v>
      </c>
      <c r="EH19" s="20">
        <f t="shared" si="35"/>
        <v>0</v>
      </c>
      <c r="EI19" s="20">
        <f t="shared" si="36"/>
        <v>0</v>
      </c>
      <c r="EJ19" s="20">
        <f t="shared" si="37"/>
        <v>0</v>
      </c>
      <c r="EL19" s="152"/>
      <c r="EM19" s="152"/>
      <c r="EN19" s="152"/>
      <c r="EO19" s="152"/>
      <c r="EP19" s="152"/>
      <c r="EQ19" s="152"/>
      <c r="ER19" s="152"/>
      <c r="ES19" s="152"/>
      <c r="ET19" s="152"/>
      <c r="EU19" s="152"/>
      <c r="EW19" s="154">
        <f t="shared" si="60"/>
        <v>0</v>
      </c>
      <c r="EX19" s="154">
        <f t="shared" si="39"/>
        <v>0</v>
      </c>
      <c r="EY19" s="154">
        <f t="shared" si="40"/>
        <v>0</v>
      </c>
      <c r="EZ19" s="154">
        <f t="shared" si="41"/>
        <v>0</v>
      </c>
      <c r="FA19" s="154">
        <f t="shared" si="42"/>
        <v>0</v>
      </c>
      <c r="FB19" s="154">
        <f t="shared" si="43"/>
        <v>0</v>
      </c>
      <c r="FC19" s="154">
        <f t="shared" si="44"/>
        <v>0</v>
      </c>
      <c r="FD19" s="154">
        <f t="shared" si="45"/>
        <v>0</v>
      </c>
      <c r="FE19" s="154">
        <f t="shared" si="46"/>
        <v>0</v>
      </c>
      <c r="FF19" s="154">
        <f t="shared" si="47"/>
        <v>0</v>
      </c>
      <c r="FH19" s="154"/>
      <c r="FI19" s="154">
        <v>0.7</v>
      </c>
      <c r="FJ19" s="127">
        <v>0.7</v>
      </c>
      <c r="FK19" s="127">
        <v>0.7</v>
      </c>
      <c r="FL19" s="127">
        <v>0.7</v>
      </c>
      <c r="FM19" s="127"/>
      <c r="FN19" s="127"/>
      <c r="FO19" s="127"/>
      <c r="FP19" s="127"/>
      <c r="FQ19" s="127"/>
      <c r="FS19" s="20">
        <f t="shared" si="61"/>
        <v>0</v>
      </c>
      <c r="FT19" s="20">
        <f t="shared" si="49"/>
        <v>900.00000000000011</v>
      </c>
      <c r="FU19" s="128">
        <f t="shared" si="50"/>
        <v>300.00000000000006</v>
      </c>
      <c r="FV19" s="128">
        <f t="shared" si="51"/>
        <v>240.00000000000003</v>
      </c>
      <c r="FW19" s="128">
        <f t="shared" si="52"/>
        <v>0</v>
      </c>
      <c r="FX19" s="128">
        <f t="shared" si="53"/>
        <v>0</v>
      </c>
      <c r="FY19" s="128">
        <f t="shared" si="54"/>
        <v>0</v>
      </c>
      <c r="FZ19" s="128">
        <f t="shared" si="55"/>
        <v>0</v>
      </c>
      <c r="GA19" s="128">
        <f t="shared" si="56"/>
        <v>0</v>
      </c>
      <c r="GB19" s="128">
        <f t="shared" si="57"/>
        <v>0</v>
      </c>
    </row>
    <row r="20" spans="2:184" ht="13.5">
      <c r="B20" s="19"/>
      <c r="C20" s="124"/>
      <c r="D20" s="19"/>
      <c r="E20" s="151">
        <v>0.02</v>
      </c>
      <c r="F20" s="170">
        <f>(16/16)</f>
        <v>1</v>
      </c>
      <c r="G20" s="151">
        <v>1</v>
      </c>
      <c r="H20" s="124" t="s">
        <v>156</v>
      </c>
      <c r="J20" s="152"/>
      <c r="K20" s="152"/>
      <c r="L20" s="152"/>
      <c r="M20" s="152"/>
      <c r="N20" s="152"/>
      <c r="O20" s="152"/>
      <c r="P20" s="152"/>
      <c r="Q20" s="152"/>
      <c r="R20" s="152"/>
      <c r="S20" s="152"/>
      <c r="U20" s="152"/>
      <c r="V20" s="152"/>
      <c r="W20" s="125"/>
      <c r="X20" s="125"/>
      <c r="Y20" s="125"/>
      <c r="Z20" s="125"/>
      <c r="AA20" s="125"/>
      <c r="AB20" s="125"/>
      <c r="AC20" s="125"/>
      <c r="AD20" s="125"/>
      <c r="AF20" s="165"/>
      <c r="AG20" s="165"/>
      <c r="AH20" s="165"/>
      <c r="AI20" s="165"/>
      <c r="AJ20" s="165"/>
      <c r="AK20" s="165"/>
      <c r="AL20" s="165"/>
      <c r="AM20" s="165"/>
      <c r="AN20" s="165"/>
      <c r="AO20" s="165"/>
      <c r="AQ20" s="152"/>
      <c r="AR20" s="152"/>
      <c r="AS20" s="152"/>
      <c r="AT20" s="152"/>
      <c r="AU20" s="152"/>
      <c r="AV20" s="152"/>
      <c r="AW20" s="152"/>
      <c r="AX20" s="152"/>
      <c r="AY20" s="152"/>
      <c r="AZ20" s="152"/>
      <c r="BB20" s="152"/>
      <c r="BC20" s="152"/>
      <c r="BD20" s="152"/>
      <c r="BE20" s="152"/>
      <c r="BF20" s="152"/>
      <c r="BG20" s="152"/>
      <c r="BH20" s="152"/>
      <c r="BI20" s="152"/>
      <c r="BJ20" s="152"/>
      <c r="BK20" s="152"/>
      <c r="BM20" s="152"/>
      <c r="BN20" s="152">
        <f t="shared" ref="BN20:BV32" si="64">(K20*V20*AG20*AR20*BC20)/1000</f>
        <v>0</v>
      </c>
      <c r="BO20" s="152">
        <f t="shared" si="64"/>
        <v>0</v>
      </c>
      <c r="BP20" s="152">
        <f t="shared" si="64"/>
        <v>0</v>
      </c>
      <c r="BQ20" s="152">
        <f t="shared" si="64"/>
        <v>0</v>
      </c>
      <c r="BR20" s="152">
        <f t="shared" si="64"/>
        <v>0</v>
      </c>
      <c r="BS20" s="152">
        <f t="shared" si="64"/>
        <v>0</v>
      </c>
      <c r="BT20" s="152">
        <f t="shared" si="64"/>
        <v>0</v>
      </c>
      <c r="BU20" s="152">
        <f t="shared" si="64"/>
        <v>0</v>
      </c>
      <c r="BV20" s="152">
        <f t="shared" si="64"/>
        <v>0</v>
      </c>
      <c r="BX20" s="160"/>
      <c r="BY20" s="159"/>
      <c r="BZ20" s="159"/>
      <c r="CA20" s="159"/>
      <c r="CB20" s="159"/>
      <c r="CC20" s="159"/>
      <c r="CD20" s="159"/>
      <c r="CE20" s="159"/>
      <c r="CF20" s="159"/>
      <c r="CG20" s="159"/>
      <c r="CI20" s="128"/>
      <c r="CJ20" s="128">
        <f t="shared" ref="CJ20:CL35" si="65">+BY20*BN20</f>
        <v>0</v>
      </c>
      <c r="CK20" s="128">
        <f t="shared" si="65"/>
        <v>0</v>
      </c>
      <c r="CL20" s="128">
        <f t="shared" si="65"/>
        <v>0</v>
      </c>
      <c r="CM20" s="128"/>
      <c r="CN20" s="128"/>
      <c r="CO20" s="128"/>
      <c r="CP20" s="128"/>
      <c r="CQ20" s="128"/>
      <c r="CR20" s="128"/>
      <c r="CT20" s="25"/>
      <c r="CU20" s="168"/>
      <c r="CV20" s="168"/>
      <c r="CW20" s="168"/>
      <c r="CX20" s="168"/>
      <c r="CY20" s="168"/>
      <c r="CZ20" s="168"/>
      <c r="DA20" s="168"/>
      <c r="DB20" s="168"/>
      <c r="DC20" s="168"/>
      <c r="DE20" s="20">
        <f t="shared" si="58"/>
        <v>0</v>
      </c>
      <c r="DF20" s="20">
        <f t="shared" si="19"/>
        <v>0</v>
      </c>
      <c r="DG20" s="20">
        <f t="shared" si="20"/>
        <v>0</v>
      </c>
      <c r="DH20" s="20">
        <f t="shared" si="21"/>
        <v>0</v>
      </c>
      <c r="DI20" s="20">
        <f t="shared" si="22"/>
        <v>0</v>
      </c>
      <c r="DJ20" s="20">
        <f t="shared" si="23"/>
        <v>0</v>
      </c>
      <c r="DK20" s="20">
        <f t="shared" si="24"/>
        <v>0</v>
      </c>
      <c r="DL20" s="20">
        <f t="shared" si="25"/>
        <v>0</v>
      </c>
      <c r="DM20" s="20">
        <f t="shared" si="26"/>
        <v>0</v>
      </c>
      <c r="DN20" s="20">
        <f t="shared" si="27"/>
        <v>0</v>
      </c>
      <c r="DP20" s="20"/>
      <c r="DQ20" s="20"/>
      <c r="DR20" s="20"/>
      <c r="DS20" s="20"/>
      <c r="DT20" s="20"/>
      <c r="DU20" s="20"/>
      <c r="DV20" s="20"/>
      <c r="DW20" s="20"/>
      <c r="DX20" s="20"/>
      <c r="DY20" s="20"/>
      <c r="EA20" s="20">
        <f t="shared" si="59"/>
        <v>0</v>
      </c>
      <c r="EB20" s="20">
        <f t="shared" si="29"/>
        <v>0</v>
      </c>
      <c r="EC20" s="20">
        <f t="shared" si="30"/>
        <v>0</v>
      </c>
      <c r="ED20" s="20">
        <f t="shared" si="31"/>
        <v>0</v>
      </c>
      <c r="EE20" s="20">
        <f t="shared" si="32"/>
        <v>0</v>
      </c>
      <c r="EF20" s="20">
        <f t="shared" si="33"/>
        <v>0</v>
      </c>
      <c r="EG20" s="20">
        <f t="shared" si="34"/>
        <v>0</v>
      </c>
      <c r="EH20" s="20">
        <f t="shared" si="35"/>
        <v>0</v>
      </c>
      <c r="EI20" s="20">
        <f t="shared" si="36"/>
        <v>0</v>
      </c>
      <c r="EJ20" s="20">
        <f t="shared" si="37"/>
        <v>0</v>
      </c>
      <c r="EL20" s="152"/>
      <c r="EM20" s="152"/>
      <c r="EN20" s="152"/>
      <c r="EO20" s="152"/>
      <c r="EP20" s="152"/>
      <c r="EQ20" s="152"/>
      <c r="ER20" s="152"/>
      <c r="ES20" s="152"/>
      <c r="ET20" s="152"/>
      <c r="EU20" s="152"/>
      <c r="EW20" s="154">
        <f t="shared" si="60"/>
        <v>0</v>
      </c>
      <c r="EX20" s="154">
        <f t="shared" si="39"/>
        <v>0</v>
      </c>
      <c r="EY20" s="154">
        <f t="shared" si="40"/>
        <v>0</v>
      </c>
      <c r="EZ20" s="154">
        <f t="shared" si="41"/>
        <v>0</v>
      </c>
      <c r="FA20" s="154">
        <f t="shared" si="42"/>
        <v>0</v>
      </c>
      <c r="FB20" s="154">
        <f t="shared" si="43"/>
        <v>0</v>
      </c>
      <c r="FC20" s="154">
        <f t="shared" si="44"/>
        <v>0</v>
      </c>
      <c r="FD20" s="154">
        <f t="shared" si="45"/>
        <v>0</v>
      </c>
      <c r="FE20" s="154">
        <f t="shared" si="46"/>
        <v>0</v>
      </c>
      <c r="FF20" s="154">
        <f t="shared" si="47"/>
        <v>0</v>
      </c>
      <c r="FH20" s="154"/>
      <c r="FI20" s="154"/>
      <c r="FJ20" s="127"/>
      <c r="FK20" s="127"/>
      <c r="FL20" s="127"/>
      <c r="FM20" s="127"/>
      <c r="FN20" s="127"/>
      <c r="FO20" s="127"/>
      <c r="FP20" s="127"/>
      <c r="FQ20" s="127"/>
      <c r="FS20" s="20">
        <f t="shared" si="61"/>
        <v>0</v>
      </c>
      <c r="FT20" s="20">
        <f t="shared" si="49"/>
        <v>0</v>
      </c>
      <c r="FU20" s="128">
        <f t="shared" si="50"/>
        <v>0</v>
      </c>
      <c r="FV20" s="128">
        <f t="shared" si="51"/>
        <v>0</v>
      </c>
      <c r="FW20" s="128">
        <f t="shared" si="52"/>
        <v>0</v>
      </c>
      <c r="FX20" s="128">
        <f t="shared" si="53"/>
        <v>0</v>
      </c>
      <c r="FY20" s="128">
        <f t="shared" si="54"/>
        <v>0</v>
      </c>
      <c r="FZ20" s="128">
        <f t="shared" si="55"/>
        <v>0</v>
      </c>
      <c r="GA20" s="128">
        <f t="shared" si="56"/>
        <v>0</v>
      </c>
      <c r="GB20" s="128">
        <f t="shared" si="57"/>
        <v>0</v>
      </c>
    </row>
    <row r="21" spans="2:184" ht="13.5">
      <c r="B21" s="19"/>
      <c r="C21" s="124"/>
      <c r="D21" s="19"/>
      <c r="E21" s="151">
        <v>0.02</v>
      </c>
      <c r="F21" s="170">
        <f>(16/16)</f>
        <v>1</v>
      </c>
      <c r="G21" s="151">
        <v>0.5</v>
      </c>
      <c r="H21" s="124" t="s">
        <v>156</v>
      </c>
      <c r="J21" s="125"/>
      <c r="K21" s="125"/>
      <c r="L21" s="125"/>
      <c r="M21" s="125"/>
      <c r="N21" s="125"/>
      <c r="O21" s="125"/>
      <c r="P21" s="125"/>
      <c r="Q21" s="125"/>
      <c r="R21" s="125"/>
      <c r="S21" s="125"/>
      <c r="U21" s="125"/>
      <c r="V21" s="125"/>
      <c r="W21" s="125"/>
      <c r="X21" s="125"/>
      <c r="Y21" s="125"/>
      <c r="Z21" s="125"/>
      <c r="AA21" s="125"/>
      <c r="AB21" s="125"/>
      <c r="AC21" s="125"/>
      <c r="AD21" s="125"/>
      <c r="AF21" s="165"/>
      <c r="AG21" s="165"/>
      <c r="AH21" s="165"/>
      <c r="AI21" s="165"/>
      <c r="AJ21" s="165"/>
      <c r="AK21" s="165"/>
      <c r="AL21" s="165"/>
      <c r="AM21" s="165"/>
      <c r="AN21" s="165"/>
      <c r="AO21" s="165"/>
      <c r="AQ21" s="152"/>
      <c r="AR21" s="152"/>
      <c r="AS21" s="152"/>
      <c r="AT21" s="152"/>
      <c r="AU21" s="152"/>
      <c r="AV21" s="152"/>
      <c r="AW21" s="152"/>
      <c r="AX21" s="152"/>
      <c r="AY21" s="152"/>
      <c r="AZ21" s="152"/>
      <c r="BB21" s="152"/>
      <c r="BC21" s="152"/>
      <c r="BD21" s="152"/>
      <c r="BE21" s="152"/>
      <c r="BF21" s="152"/>
      <c r="BG21" s="152"/>
      <c r="BH21" s="152"/>
      <c r="BI21" s="152"/>
      <c r="BJ21" s="152"/>
      <c r="BK21" s="152"/>
      <c r="BM21" s="125"/>
      <c r="BN21" s="125">
        <f t="shared" si="64"/>
        <v>0</v>
      </c>
      <c r="BO21" s="125">
        <f t="shared" si="64"/>
        <v>0</v>
      </c>
      <c r="BP21" s="125">
        <f t="shared" si="64"/>
        <v>0</v>
      </c>
      <c r="BQ21" s="125">
        <f t="shared" si="64"/>
        <v>0</v>
      </c>
      <c r="BR21" s="125">
        <f t="shared" si="64"/>
        <v>0</v>
      </c>
      <c r="BS21" s="125">
        <f t="shared" si="64"/>
        <v>0</v>
      </c>
      <c r="BT21" s="125">
        <f t="shared" si="64"/>
        <v>0</v>
      </c>
      <c r="BU21" s="125">
        <f t="shared" si="64"/>
        <v>0</v>
      </c>
      <c r="BV21" s="125">
        <f t="shared" si="64"/>
        <v>0</v>
      </c>
      <c r="BX21" s="160"/>
      <c r="BY21" s="159"/>
      <c r="BZ21" s="159"/>
      <c r="CA21" s="159"/>
      <c r="CB21" s="159"/>
      <c r="CC21" s="159"/>
      <c r="CD21" s="159"/>
      <c r="CE21" s="159"/>
      <c r="CF21" s="159"/>
      <c r="CG21" s="159"/>
      <c r="CI21" s="128"/>
      <c r="CJ21" s="128">
        <f t="shared" si="65"/>
        <v>0</v>
      </c>
      <c r="CK21" s="128">
        <f t="shared" si="65"/>
        <v>0</v>
      </c>
      <c r="CL21" s="128">
        <f t="shared" si="65"/>
        <v>0</v>
      </c>
      <c r="CM21" s="128"/>
      <c r="CN21" s="128"/>
      <c r="CO21" s="128"/>
      <c r="CP21" s="128"/>
      <c r="CQ21" s="128"/>
      <c r="CR21" s="128"/>
      <c r="CT21" s="25"/>
      <c r="CU21" s="168"/>
      <c r="CV21" s="168"/>
      <c r="CW21" s="168"/>
      <c r="CX21" s="168"/>
      <c r="CY21" s="168"/>
      <c r="CZ21" s="168"/>
      <c r="DA21" s="168"/>
      <c r="DB21" s="168"/>
      <c r="DC21" s="168"/>
      <c r="DE21" s="20">
        <f t="shared" si="58"/>
        <v>0</v>
      </c>
      <c r="DF21" s="128">
        <f t="shared" si="19"/>
        <v>0</v>
      </c>
      <c r="DG21" s="20">
        <f t="shared" si="20"/>
        <v>0</v>
      </c>
      <c r="DH21" s="20">
        <f t="shared" si="21"/>
        <v>0</v>
      </c>
      <c r="DI21" s="20">
        <f t="shared" si="22"/>
        <v>0</v>
      </c>
      <c r="DJ21" s="20">
        <f t="shared" si="23"/>
        <v>0</v>
      </c>
      <c r="DK21" s="20">
        <f t="shared" si="24"/>
        <v>0</v>
      </c>
      <c r="DL21" s="20">
        <f t="shared" si="25"/>
        <v>0</v>
      </c>
      <c r="DM21" s="20">
        <f t="shared" si="26"/>
        <v>0</v>
      </c>
      <c r="DN21" s="20">
        <f t="shared" si="27"/>
        <v>0</v>
      </c>
      <c r="DP21" s="20"/>
      <c r="DQ21" s="20"/>
      <c r="DR21" s="20"/>
      <c r="DS21" s="20"/>
      <c r="DT21" s="20"/>
      <c r="DU21" s="20"/>
      <c r="DV21" s="20"/>
      <c r="DW21" s="20"/>
      <c r="DX21" s="20"/>
      <c r="DY21" s="20"/>
      <c r="EA21" s="20">
        <f t="shared" si="59"/>
        <v>0</v>
      </c>
      <c r="EB21" s="20">
        <f t="shared" si="29"/>
        <v>0</v>
      </c>
      <c r="EC21" s="20">
        <f t="shared" si="30"/>
        <v>0</v>
      </c>
      <c r="ED21" s="20">
        <f t="shared" si="31"/>
        <v>0</v>
      </c>
      <c r="EE21" s="20">
        <f t="shared" si="32"/>
        <v>0</v>
      </c>
      <c r="EF21" s="20">
        <f t="shared" si="33"/>
        <v>0</v>
      </c>
      <c r="EG21" s="20">
        <f t="shared" si="34"/>
        <v>0</v>
      </c>
      <c r="EH21" s="20">
        <f t="shared" si="35"/>
        <v>0</v>
      </c>
      <c r="EI21" s="20">
        <f t="shared" si="36"/>
        <v>0</v>
      </c>
      <c r="EJ21" s="20">
        <f t="shared" si="37"/>
        <v>0</v>
      </c>
      <c r="EL21" s="171"/>
      <c r="EM21" s="152"/>
      <c r="EN21" s="152"/>
      <c r="EO21" s="152"/>
      <c r="EP21" s="152"/>
      <c r="EQ21" s="152"/>
      <c r="ER21" s="152"/>
      <c r="ES21" s="152"/>
      <c r="ET21" s="152"/>
      <c r="EU21" s="152"/>
      <c r="EW21" s="154">
        <f t="shared" si="60"/>
        <v>0</v>
      </c>
      <c r="EX21" s="154">
        <f t="shared" si="39"/>
        <v>0</v>
      </c>
      <c r="EY21" s="154">
        <f t="shared" si="40"/>
        <v>0</v>
      </c>
      <c r="EZ21" s="154">
        <f t="shared" si="41"/>
        <v>0</v>
      </c>
      <c r="FA21" s="154">
        <f t="shared" si="42"/>
        <v>0</v>
      </c>
      <c r="FB21" s="154">
        <f t="shared" si="43"/>
        <v>0</v>
      </c>
      <c r="FC21" s="154">
        <f t="shared" si="44"/>
        <v>0</v>
      </c>
      <c r="FD21" s="154">
        <f t="shared" si="45"/>
        <v>0</v>
      </c>
      <c r="FE21" s="154">
        <f t="shared" si="46"/>
        <v>0</v>
      </c>
      <c r="FF21" s="154">
        <f t="shared" si="47"/>
        <v>0</v>
      </c>
      <c r="FH21" s="154"/>
      <c r="FI21" s="154"/>
      <c r="FJ21" s="127"/>
      <c r="FK21" s="127"/>
      <c r="FL21" s="127"/>
      <c r="FM21" s="127"/>
      <c r="FN21" s="127"/>
      <c r="FO21" s="127"/>
      <c r="FP21" s="127"/>
      <c r="FQ21" s="127"/>
      <c r="FS21" s="20">
        <f t="shared" si="61"/>
        <v>0</v>
      </c>
      <c r="FT21" s="20">
        <f t="shared" si="49"/>
        <v>0</v>
      </c>
      <c r="FU21" s="128">
        <f t="shared" si="50"/>
        <v>0</v>
      </c>
      <c r="FV21" s="128">
        <f t="shared" si="51"/>
        <v>0</v>
      </c>
      <c r="FW21" s="128">
        <f t="shared" si="52"/>
        <v>0</v>
      </c>
      <c r="FX21" s="128">
        <f t="shared" si="53"/>
        <v>0</v>
      </c>
      <c r="FY21" s="128">
        <f t="shared" si="54"/>
        <v>0</v>
      </c>
      <c r="FZ21" s="128">
        <f t="shared" si="55"/>
        <v>0</v>
      </c>
      <c r="GA21" s="128">
        <f t="shared" si="56"/>
        <v>0</v>
      </c>
      <c r="GB21" s="128">
        <f t="shared" si="57"/>
        <v>0</v>
      </c>
    </row>
    <row r="22" spans="2:184" ht="13.5">
      <c r="B22" s="19"/>
      <c r="C22" s="124"/>
      <c r="D22" s="19"/>
      <c r="E22" s="151">
        <v>0.02</v>
      </c>
      <c r="F22" s="170">
        <v>0</v>
      </c>
      <c r="G22" s="151">
        <v>1</v>
      </c>
      <c r="H22" s="19"/>
      <c r="J22" s="152"/>
      <c r="K22" s="152"/>
      <c r="L22" s="152"/>
      <c r="M22" s="152"/>
      <c r="N22" s="152"/>
      <c r="O22" s="152"/>
      <c r="P22" s="152"/>
      <c r="Q22" s="152"/>
      <c r="R22" s="152"/>
      <c r="S22" s="152"/>
      <c r="U22" s="152"/>
      <c r="V22" s="152"/>
      <c r="W22" s="152"/>
      <c r="X22" s="152"/>
      <c r="Y22" s="152"/>
      <c r="Z22" s="152"/>
      <c r="AA22" s="152"/>
      <c r="AB22" s="152"/>
      <c r="AC22" s="152"/>
      <c r="AD22" s="152"/>
      <c r="AF22" s="165"/>
      <c r="AG22" s="165"/>
      <c r="AH22" s="165"/>
      <c r="AI22" s="165"/>
      <c r="AJ22" s="165"/>
      <c r="AK22" s="165"/>
      <c r="AL22" s="165"/>
      <c r="AM22" s="165"/>
      <c r="AN22" s="165"/>
      <c r="AO22" s="165"/>
      <c r="AQ22" s="152"/>
      <c r="AR22" s="152">
        <v>0</v>
      </c>
      <c r="AS22" s="152">
        <v>0</v>
      </c>
      <c r="AT22" s="152">
        <v>0</v>
      </c>
      <c r="AU22" s="152">
        <v>0</v>
      </c>
      <c r="AV22" s="152"/>
      <c r="AW22" s="152"/>
      <c r="AX22" s="152"/>
      <c r="AY22" s="152"/>
      <c r="AZ22" s="152"/>
      <c r="BB22" s="152"/>
      <c r="BC22" s="152"/>
      <c r="BD22" s="152"/>
      <c r="BE22" s="152"/>
      <c r="BF22" s="152"/>
      <c r="BG22" s="152"/>
      <c r="BH22" s="152"/>
      <c r="BI22" s="152"/>
      <c r="BJ22" s="152"/>
      <c r="BK22" s="152"/>
      <c r="BM22" s="152"/>
      <c r="BN22" s="152">
        <f t="shared" si="64"/>
        <v>0</v>
      </c>
      <c r="BO22" s="152">
        <f t="shared" si="64"/>
        <v>0</v>
      </c>
      <c r="BP22" s="152"/>
      <c r="BQ22" s="152">
        <f t="shared" si="64"/>
        <v>0</v>
      </c>
      <c r="BR22" s="152">
        <f t="shared" si="64"/>
        <v>0</v>
      </c>
      <c r="BS22" s="152">
        <f t="shared" si="64"/>
        <v>0</v>
      </c>
      <c r="BT22" s="152">
        <f t="shared" si="64"/>
        <v>0</v>
      </c>
      <c r="BU22" s="152">
        <f t="shared" si="64"/>
        <v>0</v>
      </c>
      <c r="BV22" s="152">
        <f t="shared" si="64"/>
        <v>0</v>
      </c>
      <c r="BX22" s="160"/>
      <c r="BY22" s="159"/>
      <c r="BZ22" s="159"/>
      <c r="CA22" s="159"/>
      <c r="CB22" s="159"/>
      <c r="CC22" s="159"/>
      <c r="CD22" s="159"/>
      <c r="CE22" s="159"/>
      <c r="CF22" s="159"/>
      <c r="CG22" s="159"/>
      <c r="CI22" s="453"/>
      <c r="CJ22" s="453">
        <f t="shared" si="65"/>
        <v>0</v>
      </c>
      <c r="CK22" s="453">
        <f t="shared" si="65"/>
        <v>0</v>
      </c>
      <c r="CL22" s="453">
        <f t="shared" si="65"/>
        <v>0</v>
      </c>
      <c r="CM22" s="453"/>
      <c r="CN22" s="453"/>
      <c r="CO22" s="453"/>
      <c r="CP22" s="453"/>
      <c r="CQ22" s="453"/>
      <c r="CR22" s="453"/>
      <c r="CT22" s="25"/>
      <c r="CU22" s="168"/>
      <c r="CV22" s="168"/>
      <c r="CW22" s="168"/>
      <c r="CX22" s="168"/>
      <c r="CY22" s="168"/>
      <c r="CZ22" s="168"/>
      <c r="DA22" s="168"/>
      <c r="DB22" s="168"/>
      <c r="DC22" s="168"/>
      <c r="DE22" s="20">
        <f t="shared" si="58"/>
        <v>0</v>
      </c>
      <c r="DF22" s="20">
        <f t="shared" si="19"/>
        <v>0</v>
      </c>
      <c r="DG22" s="20">
        <f t="shared" si="20"/>
        <v>0</v>
      </c>
      <c r="DH22" s="20">
        <f t="shared" si="21"/>
        <v>0</v>
      </c>
      <c r="DI22" s="20">
        <f t="shared" si="22"/>
        <v>0</v>
      </c>
      <c r="DJ22" s="20">
        <f t="shared" si="23"/>
        <v>0</v>
      </c>
      <c r="DK22" s="20">
        <f t="shared" si="24"/>
        <v>0</v>
      </c>
      <c r="DL22" s="20">
        <f t="shared" si="25"/>
        <v>0</v>
      </c>
      <c r="DM22" s="20">
        <f t="shared" si="26"/>
        <v>0</v>
      </c>
      <c r="DN22" s="20">
        <f t="shared" si="27"/>
        <v>0</v>
      </c>
      <c r="DP22" s="20"/>
      <c r="DQ22" s="20"/>
      <c r="DR22" s="20"/>
      <c r="DS22" s="20"/>
      <c r="DT22" s="20"/>
      <c r="DU22" s="20"/>
      <c r="DV22" s="20"/>
      <c r="DW22" s="20"/>
      <c r="DX22" s="20"/>
      <c r="DY22" s="20"/>
      <c r="EA22" s="20">
        <f t="shared" si="59"/>
        <v>0</v>
      </c>
      <c r="EB22" s="20">
        <f t="shared" si="29"/>
        <v>0</v>
      </c>
      <c r="EC22" s="20">
        <f t="shared" si="30"/>
        <v>0</v>
      </c>
      <c r="ED22" s="20">
        <f t="shared" si="31"/>
        <v>0</v>
      </c>
      <c r="EE22" s="20">
        <f t="shared" si="32"/>
        <v>0</v>
      </c>
      <c r="EF22" s="20">
        <f t="shared" si="33"/>
        <v>0</v>
      </c>
      <c r="EG22" s="20">
        <f t="shared" si="34"/>
        <v>0</v>
      </c>
      <c r="EH22" s="20">
        <f t="shared" si="35"/>
        <v>0</v>
      </c>
      <c r="EI22" s="20">
        <f t="shared" si="36"/>
        <v>0</v>
      </c>
      <c r="EJ22" s="20">
        <f t="shared" si="37"/>
        <v>0</v>
      </c>
      <c r="EL22" s="152"/>
      <c r="EM22" s="152"/>
      <c r="EN22" s="152"/>
      <c r="EO22" s="152"/>
      <c r="EP22" s="152"/>
      <c r="EQ22" s="152"/>
      <c r="ER22" s="152"/>
      <c r="ES22" s="152"/>
      <c r="ET22" s="152"/>
      <c r="EU22" s="152"/>
      <c r="EW22" s="154">
        <f t="shared" si="60"/>
        <v>0</v>
      </c>
      <c r="EX22" s="154">
        <f t="shared" si="39"/>
        <v>0</v>
      </c>
      <c r="EY22" s="154">
        <f t="shared" si="40"/>
        <v>0</v>
      </c>
      <c r="EZ22" s="154">
        <f t="shared" si="41"/>
        <v>0</v>
      </c>
      <c r="FA22" s="154">
        <f t="shared" si="42"/>
        <v>0</v>
      </c>
      <c r="FB22" s="154">
        <f t="shared" si="43"/>
        <v>0</v>
      </c>
      <c r="FC22" s="154">
        <f t="shared" si="44"/>
        <v>0</v>
      </c>
      <c r="FD22" s="154">
        <f t="shared" si="45"/>
        <v>0</v>
      </c>
      <c r="FE22" s="154">
        <f t="shared" si="46"/>
        <v>0</v>
      </c>
      <c r="FF22" s="154">
        <f t="shared" si="47"/>
        <v>0</v>
      </c>
      <c r="FH22" s="154"/>
      <c r="FI22" s="154"/>
      <c r="FJ22" s="127"/>
      <c r="FK22" s="127"/>
      <c r="FL22" s="127"/>
      <c r="FM22" s="127"/>
      <c r="FN22" s="127"/>
      <c r="FO22" s="127"/>
      <c r="FP22" s="127"/>
      <c r="FQ22" s="127"/>
      <c r="FS22" s="20">
        <f t="shared" si="61"/>
        <v>0</v>
      </c>
      <c r="FT22" s="20">
        <f t="shared" si="49"/>
        <v>0</v>
      </c>
      <c r="FU22" s="128">
        <f t="shared" si="50"/>
        <v>0</v>
      </c>
      <c r="FV22" s="128">
        <f t="shared" si="51"/>
        <v>0</v>
      </c>
      <c r="FW22" s="128">
        <f t="shared" si="52"/>
        <v>0</v>
      </c>
      <c r="FX22" s="128">
        <f t="shared" si="53"/>
        <v>0</v>
      </c>
      <c r="FY22" s="128">
        <f t="shared" si="54"/>
        <v>0</v>
      </c>
      <c r="FZ22" s="128">
        <f t="shared" si="55"/>
        <v>0</v>
      </c>
      <c r="GA22" s="128">
        <f t="shared" si="56"/>
        <v>0</v>
      </c>
      <c r="GB22" s="128">
        <f t="shared" si="57"/>
        <v>0</v>
      </c>
    </row>
    <row r="23" spans="2:184" ht="13.5">
      <c r="B23" s="19"/>
      <c r="C23" s="19"/>
      <c r="D23" s="19"/>
      <c r="E23" s="151"/>
      <c r="F23" s="170"/>
      <c r="G23" s="151"/>
      <c r="H23" s="19"/>
      <c r="J23" s="152"/>
      <c r="K23" s="152"/>
      <c r="L23" s="152"/>
      <c r="M23" s="152"/>
      <c r="N23" s="152"/>
      <c r="O23" s="152"/>
      <c r="P23" s="152"/>
      <c r="Q23" s="152"/>
      <c r="R23" s="152"/>
      <c r="S23" s="152"/>
      <c r="U23" s="152"/>
      <c r="V23" s="152"/>
      <c r="W23" s="152"/>
      <c r="X23" s="152"/>
      <c r="Y23" s="152"/>
      <c r="Z23" s="152"/>
      <c r="AA23" s="152"/>
      <c r="AB23" s="152"/>
      <c r="AC23" s="152"/>
      <c r="AD23" s="152"/>
      <c r="AF23" s="165"/>
      <c r="AG23" s="165"/>
      <c r="AH23" s="165"/>
      <c r="AI23" s="165"/>
      <c r="AJ23" s="165"/>
      <c r="AK23" s="165"/>
      <c r="AL23" s="165"/>
      <c r="AM23" s="165"/>
      <c r="AN23" s="165"/>
      <c r="AO23" s="165"/>
      <c r="AQ23" s="152"/>
      <c r="AR23" s="152"/>
      <c r="AS23" s="152"/>
      <c r="AT23" s="152"/>
      <c r="AU23" s="152"/>
      <c r="AV23" s="152"/>
      <c r="AW23" s="152"/>
      <c r="AX23" s="152"/>
      <c r="AY23" s="152"/>
      <c r="AZ23" s="152"/>
      <c r="BB23" s="152"/>
      <c r="BC23" s="152"/>
      <c r="BD23" s="152"/>
      <c r="BE23" s="152"/>
      <c r="BF23" s="152"/>
      <c r="BG23" s="152"/>
      <c r="BH23" s="152"/>
      <c r="BI23" s="152"/>
      <c r="BJ23" s="152"/>
      <c r="BK23" s="152"/>
      <c r="BM23" s="152"/>
      <c r="BN23" s="152">
        <f t="shared" si="64"/>
        <v>0</v>
      </c>
      <c r="BO23" s="152">
        <f t="shared" si="64"/>
        <v>0</v>
      </c>
      <c r="BP23" s="152">
        <f t="shared" si="64"/>
        <v>0</v>
      </c>
      <c r="BQ23" s="152">
        <f t="shared" si="64"/>
        <v>0</v>
      </c>
      <c r="BR23" s="152">
        <f t="shared" si="64"/>
        <v>0</v>
      </c>
      <c r="BS23" s="152">
        <f t="shared" si="64"/>
        <v>0</v>
      </c>
      <c r="BT23" s="152">
        <f t="shared" si="64"/>
        <v>0</v>
      </c>
      <c r="BU23" s="152">
        <f t="shared" si="64"/>
        <v>0</v>
      </c>
      <c r="BV23" s="152">
        <f t="shared" si="64"/>
        <v>0</v>
      </c>
      <c r="BX23" s="160"/>
      <c r="BY23" s="159"/>
      <c r="BZ23" s="159"/>
      <c r="CA23" s="159"/>
      <c r="CB23" s="159"/>
      <c r="CC23" s="159"/>
      <c r="CD23" s="159"/>
      <c r="CE23" s="159"/>
      <c r="CF23" s="159"/>
      <c r="CG23" s="159"/>
      <c r="CI23" s="453"/>
      <c r="CJ23" s="453">
        <f t="shared" si="65"/>
        <v>0</v>
      </c>
      <c r="CK23" s="453">
        <f t="shared" si="65"/>
        <v>0</v>
      </c>
      <c r="CL23" s="453">
        <f t="shared" si="65"/>
        <v>0</v>
      </c>
      <c r="CM23" s="453"/>
      <c r="CN23" s="453"/>
      <c r="CO23" s="453"/>
      <c r="CP23" s="453"/>
      <c r="CQ23" s="453"/>
      <c r="CR23" s="453"/>
      <c r="CT23" s="25"/>
      <c r="CU23" s="168"/>
      <c r="CV23" s="168"/>
      <c r="CW23" s="168"/>
      <c r="CX23" s="168"/>
      <c r="CY23" s="168"/>
      <c r="CZ23" s="168"/>
      <c r="DA23" s="168"/>
      <c r="DB23" s="168"/>
      <c r="DC23" s="168"/>
      <c r="DE23" s="20">
        <f t="shared" si="58"/>
        <v>0</v>
      </c>
      <c r="DF23" s="20">
        <f t="shared" si="19"/>
        <v>0</v>
      </c>
      <c r="DG23" s="20">
        <f t="shared" si="20"/>
        <v>0</v>
      </c>
      <c r="DH23" s="20">
        <f t="shared" si="21"/>
        <v>0</v>
      </c>
      <c r="DI23" s="20">
        <f t="shared" si="22"/>
        <v>0</v>
      </c>
      <c r="DJ23" s="20">
        <f t="shared" si="23"/>
        <v>0</v>
      </c>
      <c r="DK23" s="20">
        <f t="shared" si="24"/>
        <v>0</v>
      </c>
      <c r="DL23" s="20">
        <f t="shared" si="25"/>
        <v>0</v>
      </c>
      <c r="DM23" s="20">
        <f t="shared" si="26"/>
        <v>0</v>
      </c>
      <c r="DN23" s="20">
        <f t="shared" si="27"/>
        <v>0</v>
      </c>
      <c r="DP23" s="20"/>
      <c r="DQ23" s="20"/>
      <c r="DR23" s="20"/>
      <c r="DS23" s="20"/>
      <c r="DT23" s="20"/>
      <c r="DU23" s="20"/>
      <c r="DV23" s="20"/>
      <c r="DW23" s="20"/>
      <c r="DX23" s="20"/>
      <c r="DY23" s="20"/>
      <c r="EA23" s="20">
        <f t="shared" si="59"/>
        <v>0</v>
      </c>
      <c r="EB23" s="20">
        <f t="shared" si="29"/>
        <v>0</v>
      </c>
      <c r="EC23" s="20">
        <f t="shared" si="30"/>
        <v>0</v>
      </c>
      <c r="ED23" s="20">
        <f t="shared" si="31"/>
        <v>0</v>
      </c>
      <c r="EE23" s="20">
        <f t="shared" si="32"/>
        <v>0</v>
      </c>
      <c r="EF23" s="20">
        <f t="shared" si="33"/>
        <v>0</v>
      </c>
      <c r="EG23" s="20">
        <f t="shared" si="34"/>
        <v>0</v>
      </c>
      <c r="EH23" s="20">
        <f t="shared" si="35"/>
        <v>0</v>
      </c>
      <c r="EI23" s="20">
        <f t="shared" si="36"/>
        <v>0</v>
      </c>
      <c r="EJ23" s="20">
        <f t="shared" si="37"/>
        <v>0</v>
      </c>
      <c r="EL23" s="152"/>
      <c r="EM23" s="152"/>
      <c r="EN23" s="152"/>
      <c r="EO23" s="152"/>
      <c r="EP23" s="152"/>
      <c r="EQ23" s="152"/>
      <c r="ER23" s="152"/>
      <c r="ES23" s="152"/>
      <c r="ET23" s="152"/>
      <c r="EU23" s="152"/>
      <c r="EW23" s="154">
        <f t="shared" si="60"/>
        <v>0</v>
      </c>
      <c r="EX23" s="154">
        <f t="shared" si="39"/>
        <v>0</v>
      </c>
      <c r="EY23" s="154">
        <f t="shared" si="40"/>
        <v>0</v>
      </c>
      <c r="EZ23" s="154">
        <f t="shared" si="41"/>
        <v>0</v>
      </c>
      <c r="FA23" s="154">
        <f t="shared" si="42"/>
        <v>0</v>
      </c>
      <c r="FB23" s="154">
        <f t="shared" si="43"/>
        <v>0</v>
      </c>
      <c r="FC23" s="154">
        <f t="shared" si="44"/>
        <v>0</v>
      </c>
      <c r="FD23" s="154">
        <f t="shared" si="45"/>
        <v>0</v>
      </c>
      <c r="FE23" s="154">
        <f t="shared" si="46"/>
        <v>0</v>
      </c>
      <c r="FF23" s="154">
        <f t="shared" si="47"/>
        <v>0</v>
      </c>
      <c r="FH23" s="154"/>
      <c r="FI23" s="154"/>
      <c r="FJ23" s="127"/>
      <c r="FK23" s="127"/>
      <c r="FL23" s="127"/>
      <c r="FM23" s="127"/>
      <c r="FN23" s="127"/>
      <c r="FO23" s="127"/>
      <c r="FP23" s="127"/>
      <c r="FQ23" s="127"/>
      <c r="FS23" s="20">
        <f t="shared" si="61"/>
        <v>0</v>
      </c>
      <c r="FT23" s="20">
        <f t="shared" si="49"/>
        <v>0</v>
      </c>
      <c r="FU23" s="128">
        <f t="shared" si="50"/>
        <v>0</v>
      </c>
      <c r="FV23" s="128">
        <f t="shared" si="51"/>
        <v>0</v>
      </c>
      <c r="FW23" s="128">
        <f t="shared" si="52"/>
        <v>0</v>
      </c>
      <c r="FX23" s="128">
        <f t="shared" si="53"/>
        <v>0</v>
      </c>
      <c r="FY23" s="128">
        <f t="shared" si="54"/>
        <v>0</v>
      </c>
      <c r="FZ23" s="128">
        <f t="shared" si="55"/>
        <v>0</v>
      </c>
      <c r="GA23" s="128">
        <f t="shared" si="56"/>
        <v>0</v>
      </c>
      <c r="GB23" s="128">
        <f t="shared" si="57"/>
        <v>0</v>
      </c>
    </row>
    <row r="24" spans="2:184" ht="13.5">
      <c r="B24" s="19"/>
      <c r="C24" s="19"/>
      <c r="D24" s="19"/>
      <c r="E24" s="151"/>
      <c r="F24" s="170"/>
      <c r="G24" s="151"/>
      <c r="H24" s="19"/>
      <c r="J24" s="152"/>
      <c r="K24" s="152"/>
      <c r="L24" s="152"/>
      <c r="M24" s="152"/>
      <c r="N24" s="152"/>
      <c r="O24" s="152"/>
      <c r="P24" s="152"/>
      <c r="Q24" s="152"/>
      <c r="R24" s="152"/>
      <c r="S24" s="152"/>
      <c r="U24" s="152"/>
      <c r="V24" s="152"/>
      <c r="W24" s="152"/>
      <c r="X24" s="152"/>
      <c r="Y24" s="152"/>
      <c r="Z24" s="152"/>
      <c r="AA24" s="152"/>
      <c r="AB24" s="152"/>
      <c r="AC24" s="152"/>
      <c r="AD24" s="152"/>
      <c r="AF24" s="165"/>
      <c r="AG24" s="165"/>
      <c r="AH24" s="165"/>
      <c r="AI24" s="165"/>
      <c r="AJ24" s="165"/>
      <c r="AK24" s="165"/>
      <c r="AL24" s="165"/>
      <c r="AM24" s="165"/>
      <c r="AN24" s="165"/>
      <c r="AO24" s="165"/>
      <c r="AQ24" s="152"/>
      <c r="AR24" s="152"/>
      <c r="AS24" s="152"/>
      <c r="AT24" s="152"/>
      <c r="AU24" s="152"/>
      <c r="AV24" s="152"/>
      <c r="AW24" s="152"/>
      <c r="AX24" s="152"/>
      <c r="AY24" s="152"/>
      <c r="AZ24" s="152"/>
      <c r="BB24" s="152"/>
      <c r="BC24" s="152"/>
      <c r="BD24" s="152"/>
      <c r="BE24" s="152"/>
      <c r="BF24" s="152"/>
      <c r="BG24" s="152"/>
      <c r="BH24" s="152"/>
      <c r="BI24" s="152"/>
      <c r="BJ24" s="152"/>
      <c r="BK24" s="152"/>
      <c r="BM24" s="152"/>
      <c r="BN24" s="152">
        <f t="shared" si="64"/>
        <v>0</v>
      </c>
      <c r="BO24" s="152">
        <f t="shared" si="64"/>
        <v>0</v>
      </c>
      <c r="BP24" s="152">
        <f t="shared" si="64"/>
        <v>0</v>
      </c>
      <c r="BQ24" s="152">
        <f t="shared" si="64"/>
        <v>0</v>
      </c>
      <c r="BR24" s="152">
        <f t="shared" si="64"/>
        <v>0</v>
      </c>
      <c r="BS24" s="152">
        <f t="shared" si="64"/>
        <v>0</v>
      </c>
      <c r="BT24" s="152">
        <f t="shared" si="64"/>
        <v>0</v>
      </c>
      <c r="BU24" s="152">
        <f t="shared" si="64"/>
        <v>0</v>
      </c>
      <c r="BV24" s="152">
        <f t="shared" si="64"/>
        <v>0</v>
      </c>
      <c r="BX24" s="160"/>
      <c r="BY24" s="159"/>
      <c r="BZ24" s="159"/>
      <c r="CA24" s="159"/>
      <c r="CB24" s="159"/>
      <c r="CC24" s="159"/>
      <c r="CD24" s="159"/>
      <c r="CE24" s="159"/>
      <c r="CF24" s="159"/>
      <c r="CG24" s="159"/>
      <c r="CI24" s="453"/>
      <c r="CJ24" s="453">
        <f t="shared" si="65"/>
        <v>0</v>
      </c>
      <c r="CK24" s="453">
        <f t="shared" si="65"/>
        <v>0</v>
      </c>
      <c r="CL24" s="453">
        <f t="shared" si="65"/>
        <v>0</v>
      </c>
      <c r="CM24" s="453"/>
      <c r="CN24" s="453"/>
      <c r="CO24" s="453"/>
      <c r="CP24" s="453"/>
      <c r="CQ24" s="453"/>
      <c r="CR24" s="453"/>
      <c r="CT24" s="25"/>
      <c r="CU24" s="168"/>
      <c r="CV24" s="168"/>
      <c r="CW24" s="168"/>
      <c r="CX24" s="168"/>
      <c r="CY24" s="168"/>
      <c r="CZ24" s="168"/>
      <c r="DA24" s="168"/>
      <c r="DB24" s="168"/>
      <c r="DC24" s="168"/>
      <c r="DE24" s="20">
        <f t="shared" si="58"/>
        <v>0</v>
      </c>
      <c r="DF24" s="20">
        <f t="shared" si="19"/>
        <v>0</v>
      </c>
      <c r="DG24" s="20">
        <f t="shared" si="20"/>
        <v>0</v>
      </c>
      <c r="DH24" s="20">
        <f t="shared" si="21"/>
        <v>0</v>
      </c>
      <c r="DI24" s="20">
        <f t="shared" si="22"/>
        <v>0</v>
      </c>
      <c r="DJ24" s="20">
        <f t="shared" si="23"/>
        <v>0</v>
      </c>
      <c r="DK24" s="20">
        <f t="shared" si="24"/>
        <v>0</v>
      </c>
      <c r="DL24" s="20">
        <f t="shared" si="25"/>
        <v>0</v>
      </c>
      <c r="DM24" s="20">
        <f t="shared" si="26"/>
        <v>0</v>
      </c>
      <c r="DN24" s="20">
        <f t="shared" si="27"/>
        <v>0</v>
      </c>
      <c r="DP24" s="20"/>
      <c r="DQ24" s="20"/>
      <c r="DR24" s="20"/>
      <c r="DS24" s="20"/>
      <c r="DT24" s="20"/>
      <c r="DU24" s="20"/>
      <c r="DV24" s="20"/>
      <c r="DW24" s="20"/>
      <c r="DX24" s="20"/>
      <c r="DY24" s="20"/>
      <c r="EA24" s="20">
        <f t="shared" si="59"/>
        <v>0</v>
      </c>
      <c r="EB24" s="20">
        <f t="shared" si="29"/>
        <v>0</v>
      </c>
      <c r="EC24" s="20">
        <f t="shared" si="30"/>
        <v>0</v>
      </c>
      <c r="ED24" s="20">
        <f t="shared" si="31"/>
        <v>0</v>
      </c>
      <c r="EE24" s="20">
        <f t="shared" si="32"/>
        <v>0</v>
      </c>
      <c r="EF24" s="20">
        <f t="shared" si="33"/>
        <v>0</v>
      </c>
      <c r="EG24" s="20">
        <f t="shared" si="34"/>
        <v>0</v>
      </c>
      <c r="EH24" s="20">
        <f t="shared" si="35"/>
        <v>0</v>
      </c>
      <c r="EI24" s="20">
        <f t="shared" si="36"/>
        <v>0</v>
      </c>
      <c r="EJ24" s="20">
        <f t="shared" si="37"/>
        <v>0</v>
      </c>
      <c r="EL24" s="152"/>
      <c r="EM24" s="152"/>
      <c r="EN24" s="152"/>
      <c r="EO24" s="152"/>
      <c r="EP24" s="152"/>
      <c r="EQ24" s="152"/>
      <c r="ER24" s="152"/>
      <c r="ES24" s="152"/>
      <c r="ET24" s="152"/>
      <c r="EU24" s="152"/>
      <c r="EW24" s="154">
        <f t="shared" si="60"/>
        <v>0</v>
      </c>
      <c r="EX24" s="154">
        <f t="shared" si="39"/>
        <v>0</v>
      </c>
      <c r="EY24" s="154">
        <f t="shared" si="40"/>
        <v>0</v>
      </c>
      <c r="EZ24" s="154">
        <f t="shared" si="41"/>
        <v>0</v>
      </c>
      <c r="FA24" s="154">
        <f t="shared" si="42"/>
        <v>0</v>
      </c>
      <c r="FB24" s="154">
        <f t="shared" si="43"/>
        <v>0</v>
      </c>
      <c r="FC24" s="154">
        <f t="shared" si="44"/>
        <v>0</v>
      </c>
      <c r="FD24" s="154">
        <f t="shared" si="45"/>
        <v>0</v>
      </c>
      <c r="FE24" s="154">
        <f t="shared" si="46"/>
        <v>0</v>
      </c>
      <c r="FF24" s="154">
        <f t="shared" si="47"/>
        <v>0</v>
      </c>
      <c r="FH24" s="154"/>
      <c r="FI24" s="154"/>
      <c r="FJ24" s="127"/>
      <c r="FK24" s="127"/>
      <c r="FL24" s="127"/>
      <c r="FM24" s="127"/>
      <c r="FN24" s="127"/>
      <c r="FO24" s="127"/>
      <c r="FP24" s="127"/>
      <c r="FQ24" s="127"/>
      <c r="FS24" s="20">
        <f t="shared" si="61"/>
        <v>0</v>
      </c>
      <c r="FT24" s="20">
        <f t="shared" si="49"/>
        <v>0</v>
      </c>
      <c r="FU24" s="128">
        <f t="shared" si="50"/>
        <v>0</v>
      </c>
      <c r="FV24" s="128">
        <f t="shared" si="51"/>
        <v>0</v>
      </c>
      <c r="FW24" s="128">
        <f t="shared" si="52"/>
        <v>0</v>
      </c>
      <c r="FX24" s="128">
        <f t="shared" si="53"/>
        <v>0</v>
      </c>
      <c r="FY24" s="128">
        <f t="shared" si="54"/>
        <v>0</v>
      </c>
      <c r="FZ24" s="128">
        <f t="shared" si="55"/>
        <v>0</v>
      </c>
      <c r="GA24" s="128">
        <f t="shared" si="56"/>
        <v>0</v>
      </c>
      <c r="GB24" s="128">
        <f t="shared" si="57"/>
        <v>0</v>
      </c>
    </row>
    <row r="25" spans="2:184" ht="13.5">
      <c r="B25" s="19"/>
      <c r="C25" s="19"/>
      <c r="D25" s="19"/>
      <c r="E25" s="151"/>
      <c r="F25" s="170"/>
      <c r="G25" s="151"/>
      <c r="H25" s="19"/>
      <c r="J25" s="152"/>
      <c r="K25" s="152"/>
      <c r="L25" s="152"/>
      <c r="M25" s="152"/>
      <c r="N25" s="152"/>
      <c r="O25" s="152"/>
      <c r="P25" s="152"/>
      <c r="Q25" s="152"/>
      <c r="R25" s="152"/>
      <c r="S25" s="152"/>
      <c r="U25" s="152"/>
      <c r="V25" s="152"/>
      <c r="W25" s="152"/>
      <c r="X25" s="152"/>
      <c r="Y25" s="152"/>
      <c r="Z25" s="152"/>
      <c r="AA25" s="152"/>
      <c r="AB25" s="152"/>
      <c r="AC25" s="152"/>
      <c r="AD25" s="152"/>
      <c r="AF25" s="165"/>
      <c r="AG25" s="165"/>
      <c r="AH25" s="165"/>
      <c r="AI25" s="165"/>
      <c r="AJ25" s="165"/>
      <c r="AK25" s="165"/>
      <c r="AL25" s="165"/>
      <c r="AM25" s="165"/>
      <c r="AN25" s="165"/>
      <c r="AO25" s="165"/>
      <c r="AQ25" s="152"/>
      <c r="AR25" s="152"/>
      <c r="AS25" s="152"/>
      <c r="AT25" s="152"/>
      <c r="AU25" s="152"/>
      <c r="AV25" s="152"/>
      <c r="AW25" s="152"/>
      <c r="AX25" s="152"/>
      <c r="AY25" s="152"/>
      <c r="AZ25" s="152"/>
      <c r="BB25" s="152"/>
      <c r="BC25" s="152"/>
      <c r="BD25" s="152"/>
      <c r="BE25" s="152"/>
      <c r="BF25" s="152"/>
      <c r="BG25" s="152"/>
      <c r="BH25" s="152"/>
      <c r="BI25" s="152"/>
      <c r="BJ25" s="152"/>
      <c r="BK25" s="152"/>
      <c r="BM25" s="152"/>
      <c r="BN25" s="152">
        <f t="shared" si="64"/>
        <v>0</v>
      </c>
      <c r="BO25" s="152">
        <f t="shared" si="64"/>
        <v>0</v>
      </c>
      <c r="BP25" s="152">
        <f t="shared" si="64"/>
        <v>0</v>
      </c>
      <c r="BQ25" s="152">
        <f t="shared" si="64"/>
        <v>0</v>
      </c>
      <c r="BR25" s="152">
        <f t="shared" si="64"/>
        <v>0</v>
      </c>
      <c r="BS25" s="152">
        <f t="shared" si="64"/>
        <v>0</v>
      </c>
      <c r="BT25" s="152">
        <f t="shared" si="64"/>
        <v>0</v>
      </c>
      <c r="BU25" s="152">
        <f t="shared" si="64"/>
        <v>0</v>
      </c>
      <c r="BV25" s="152">
        <f t="shared" si="64"/>
        <v>0</v>
      </c>
      <c r="BX25" s="160"/>
      <c r="BY25" s="159"/>
      <c r="BZ25" s="159"/>
      <c r="CA25" s="159"/>
      <c r="CB25" s="159"/>
      <c r="CC25" s="159"/>
      <c r="CD25" s="159"/>
      <c r="CE25" s="159"/>
      <c r="CF25" s="159"/>
      <c r="CG25" s="159"/>
      <c r="CI25" s="453"/>
      <c r="CJ25" s="453">
        <f t="shared" si="65"/>
        <v>0</v>
      </c>
      <c r="CK25" s="453">
        <f t="shared" si="65"/>
        <v>0</v>
      </c>
      <c r="CL25" s="453">
        <f t="shared" si="65"/>
        <v>0</v>
      </c>
      <c r="CM25" s="453"/>
      <c r="CN25" s="453"/>
      <c r="CO25" s="453"/>
      <c r="CP25" s="453"/>
      <c r="CQ25" s="453"/>
      <c r="CR25" s="453"/>
      <c r="CT25" s="25"/>
      <c r="CU25" s="168"/>
      <c r="CV25" s="168"/>
      <c r="CW25" s="168"/>
      <c r="CX25" s="168"/>
      <c r="CY25" s="168"/>
      <c r="CZ25" s="168"/>
      <c r="DA25" s="168"/>
      <c r="DB25" s="168"/>
      <c r="DC25" s="168"/>
      <c r="DE25" s="20">
        <f t="shared" si="58"/>
        <v>0</v>
      </c>
      <c r="DF25" s="20">
        <f t="shared" si="19"/>
        <v>0</v>
      </c>
      <c r="DG25" s="20">
        <f t="shared" si="20"/>
        <v>0</v>
      </c>
      <c r="DH25" s="20">
        <f t="shared" si="21"/>
        <v>0</v>
      </c>
      <c r="DI25" s="20">
        <f t="shared" si="22"/>
        <v>0</v>
      </c>
      <c r="DJ25" s="20">
        <f t="shared" si="23"/>
        <v>0</v>
      </c>
      <c r="DK25" s="20">
        <f t="shared" si="24"/>
        <v>0</v>
      </c>
      <c r="DL25" s="20">
        <f t="shared" si="25"/>
        <v>0</v>
      </c>
      <c r="DM25" s="20">
        <f t="shared" si="26"/>
        <v>0</v>
      </c>
      <c r="DN25" s="20">
        <f t="shared" si="27"/>
        <v>0</v>
      </c>
      <c r="DP25" s="20"/>
      <c r="DQ25" s="20"/>
      <c r="DR25" s="20"/>
      <c r="DS25" s="20"/>
      <c r="DT25" s="20"/>
      <c r="DU25" s="20"/>
      <c r="DV25" s="20"/>
      <c r="DW25" s="20"/>
      <c r="DX25" s="20"/>
      <c r="DY25" s="20"/>
      <c r="EA25" s="20">
        <f t="shared" si="59"/>
        <v>0</v>
      </c>
      <c r="EB25" s="20">
        <f t="shared" si="29"/>
        <v>0</v>
      </c>
      <c r="EC25" s="20">
        <f t="shared" si="30"/>
        <v>0</v>
      </c>
      <c r="ED25" s="20">
        <f t="shared" si="31"/>
        <v>0</v>
      </c>
      <c r="EE25" s="20">
        <f t="shared" si="32"/>
        <v>0</v>
      </c>
      <c r="EF25" s="20">
        <f t="shared" si="33"/>
        <v>0</v>
      </c>
      <c r="EG25" s="20">
        <f t="shared" si="34"/>
        <v>0</v>
      </c>
      <c r="EH25" s="20">
        <f t="shared" si="35"/>
        <v>0</v>
      </c>
      <c r="EI25" s="20">
        <f t="shared" si="36"/>
        <v>0</v>
      </c>
      <c r="EJ25" s="20">
        <f t="shared" si="37"/>
        <v>0</v>
      </c>
      <c r="EL25" s="152"/>
      <c r="EM25" s="152"/>
      <c r="EN25" s="152"/>
      <c r="EO25" s="152"/>
      <c r="EP25" s="152"/>
      <c r="EQ25" s="152"/>
      <c r="ER25" s="152"/>
      <c r="ES25" s="152"/>
      <c r="ET25" s="152"/>
      <c r="EU25" s="152"/>
      <c r="EW25" s="154">
        <f t="shared" si="60"/>
        <v>0</v>
      </c>
      <c r="EX25" s="154">
        <f t="shared" si="39"/>
        <v>0</v>
      </c>
      <c r="EY25" s="154">
        <f t="shared" si="40"/>
        <v>0</v>
      </c>
      <c r="EZ25" s="154">
        <f t="shared" si="41"/>
        <v>0</v>
      </c>
      <c r="FA25" s="154">
        <f t="shared" si="42"/>
        <v>0</v>
      </c>
      <c r="FB25" s="154">
        <f t="shared" si="43"/>
        <v>0</v>
      </c>
      <c r="FC25" s="154">
        <f t="shared" si="44"/>
        <v>0</v>
      </c>
      <c r="FD25" s="154">
        <f t="shared" si="45"/>
        <v>0</v>
      </c>
      <c r="FE25" s="154">
        <f t="shared" si="46"/>
        <v>0</v>
      </c>
      <c r="FF25" s="154">
        <f t="shared" si="47"/>
        <v>0</v>
      </c>
      <c r="FH25" s="154"/>
      <c r="FI25" s="154"/>
      <c r="FJ25" s="127"/>
      <c r="FK25" s="127"/>
      <c r="FL25" s="127"/>
      <c r="FM25" s="127"/>
      <c r="FN25" s="127"/>
      <c r="FO25" s="127"/>
      <c r="FP25" s="127"/>
      <c r="FQ25" s="127"/>
      <c r="FS25" s="20">
        <f t="shared" si="61"/>
        <v>0</v>
      </c>
      <c r="FT25" s="20">
        <f t="shared" si="49"/>
        <v>0</v>
      </c>
      <c r="FU25" s="128">
        <f t="shared" si="50"/>
        <v>0</v>
      </c>
      <c r="FV25" s="128">
        <f t="shared" si="51"/>
        <v>0</v>
      </c>
      <c r="FW25" s="128">
        <f t="shared" si="52"/>
        <v>0</v>
      </c>
      <c r="FX25" s="128">
        <f t="shared" si="53"/>
        <v>0</v>
      </c>
      <c r="FY25" s="128">
        <f t="shared" si="54"/>
        <v>0</v>
      </c>
      <c r="FZ25" s="128">
        <f t="shared" si="55"/>
        <v>0</v>
      </c>
      <c r="GA25" s="128">
        <f t="shared" si="56"/>
        <v>0</v>
      </c>
      <c r="GB25" s="128">
        <f t="shared" si="57"/>
        <v>0</v>
      </c>
    </row>
    <row r="26" spans="2:184" ht="13.5">
      <c r="B26" s="19"/>
      <c r="C26" s="19"/>
      <c r="D26" s="19"/>
      <c r="E26" s="151"/>
      <c r="F26" s="170"/>
      <c r="G26" s="151"/>
      <c r="H26" s="19"/>
      <c r="J26" s="152"/>
      <c r="K26" s="152"/>
      <c r="L26" s="152"/>
      <c r="M26" s="152"/>
      <c r="N26" s="152"/>
      <c r="O26" s="152"/>
      <c r="P26" s="152"/>
      <c r="Q26" s="152"/>
      <c r="R26" s="152"/>
      <c r="S26" s="152"/>
      <c r="U26" s="152"/>
      <c r="V26" s="152"/>
      <c r="W26" s="152"/>
      <c r="X26" s="152"/>
      <c r="Y26" s="152"/>
      <c r="Z26" s="152"/>
      <c r="AA26" s="152"/>
      <c r="AB26" s="152"/>
      <c r="AC26" s="152"/>
      <c r="AD26" s="152"/>
      <c r="AF26" s="165"/>
      <c r="AG26" s="165"/>
      <c r="AH26" s="165"/>
      <c r="AI26" s="165"/>
      <c r="AJ26" s="165"/>
      <c r="AK26" s="165"/>
      <c r="AL26" s="165"/>
      <c r="AM26" s="165"/>
      <c r="AN26" s="165"/>
      <c r="AO26" s="165"/>
      <c r="AQ26" s="152"/>
      <c r="AR26" s="152"/>
      <c r="AS26" s="152"/>
      <c r="AT26" s="152"/>
      <c r="AU26" s="152"/>
      <c r="AV26" s="152"/>
      <c r="AW26" s="152"/>
      <c r="AX26" s="152"/>
      <c r="AY26" s="152"/>
      <c r="AZ26" s="152"/>
      <c r="BB26" s="152"/>
      <c r="BC26" s="152"/>
      <c r="BD26" s="152"/>
      <c r="BE26" s="152"/>
      <c r="BF26" s="152"/>
      <c r="BG26" s="152"/>
      <c r="BH26" s="152"/>
      <c r="BI26" s="152"/>
      <c r="BJ26" s="152"/>
      <c r="BK26" s="152"/>
      <c r="BM26" s="152"/>
      <c r="BN26" s="152">
        <f t="shared" si="64"/>
        <v>0</v>
      </c>
      <c r="BO26" s="152">
        <f t="shared" si="64"/>
        <v>0</v>
      </c>
      <c r="BP26" s="152">
        <f t="shared" si="64"/>
        <v>0</v>
      </c>
      <c r="BQ26" s="152">
        <f t="shared" si="64"/>
        <v>0</v>
      </c>
      <c r="BR26" s="152">
        <f t="shared" si="64"/>
        <v>0</v>
      </c>
      <c r="BS26" s="152">
        <f t="shared" si="64"/>
        <v>0</v>
      </c>
      <c r="BT26" s="152">
        <f t="shared" si="64"/>
        <v>0</v>
      </c>
      <c r="BU26" s="152">
        <f t="shared" si="64"/>
        <v>0</v>
      </c>
      <c r="BV26" s="152">
        <f t="shared" si="64"/>
        <v>0</v>
      </c>
      <c r="BX26" s="160"/>
      <c r="BY26" s="159"/>
      <c r="BZ26" s="159"/>
      <c r="CA26" s="159"/>
      <c r="CB26" s="159"/>
      <c r="CC26" s="159"/>
      <c r="CD26" s="159"/>
      <c r="CE26" s="159"/>
      <c r="CF26" s="159"/>
      <c r="CG26" s="159"/>
      <c r="CI26" s="453"/>
      <c r="CJ26" s="453">
        <f t="shared" si="65"/>
        <v>0</v>
      </c>
      <c r="CK26" s="453">
        <f t="shared" si="65"/>
        <v>0</v>
      </c>
      <c r="CL26" s="453">
        <f t="shared" si="65"/>
        <v>0</v>
      </c>
      <c r="CM26" s="453"/>
      <c r="CN26" s="453"/>
      <c r="CO26" s="453"/>
      <c r="CP26" s="453"/>
      <c r="CQ26" s="453"/>
      <c r="CR26" s="453"/>
      <c r="CT26" s="25"/>
      <c r="CU26" s="168"/>
      <c r="CV26" s="168"/>
      <c r="CW26" s="168"/>
      <c r="CX26" s="168"/>
      <c r="CY26" s="168"/>
      <c r="CZ26" s="168"/>
      <c r="DA26" s="168"/>
      <c r="DB26" s="168"/>
      <c r="DC26" s="168"/>
      <c r="DE26" s="20">
        <f t="shared" ref="DE26:DE43" si="66">-CI26*CT26</f>
        <v>0</v>
      </c>
      <c r="DF26" s="20">
        <f t="shared" ref="DF26:DF43" si="67">-CJ26*CU26</f>
        <v>0</v>
      </c>
      <c r="DG26" s="20">
        <f t="shared" ref="DG26:DG43" si="68">-CK26*CV26</f>
        <v>0</v>
      </c>
      <c r="DH26" s="20">
        <f t="shared" ref="DH26:DH43" si="69">-CL26*CW26</f>
        <v>0</v>
      </c>
      <c r="DI26" s="20">
        <f t="shared" ref="DI26:DI43" si="70">-CM26*CX26</f>
        <v>0</v>
      </c>
      <c r="DJ26" s="20">
        <f t="shared" ref="DJ26:DJ43" si="71">-CN26*CY26</f>
        <v>0</v>
      </c>
      <c r="DK26" s="20">
        <f t="shared" ref="DK26:DK43" si="72">-CO26*CZ26</f>
        <v>0</v>
      </c>
      <c r="DL26" s="20">
        <f t="shared" ref="DL26:DL43" si="73">-CP26*DA26</f>
        <v>0</v>
      </c>
      <c r="DM26" s="20">
        <f t="shared" ref="DM26:DN43" si="74">-CQ26*DB26</f>
        <v>0</v>
      </c>
      <c r="DN26" s="20">
        <f t="shared" si="74"/>
        <v>0</v>
      </c>
      <c r="DP26" s="20"/>
      <c r="DQ26" s="20"/>
      <c r="DR26" s="20"/>
      <c r="DS26" s="20"/>
      <c r="DT26" s="20"/>
      <c r="DU26" s="20"/>
      <c r="DV26" s="20"/>
      <c r="DW26" s="20"/>
      <c r="DX26" s="20"/>
      <c r="DY26" s="20"/>
      <c r="EA26" s="20">
        <f t="shared" si="59"/>
        <v>0</v>
      </c>
      <c r="EB26" s="20">
        <f t="shared" si="29"/>
        <v>0</v>
      </c>
      <c r="EC26" s="20">
        <f t="shared" si="30"/>
        <v>0</v>
      </c>
      <c r="ED26" s="20">
        <f t="shared" si="31"/>
        <v>0</v>
      </c>
      <c r="EE26" s="20">
        <f t="shared" si="32"/>
        <v>0</v>
      </c>
      <c r="EF26" s="20">
        <f t="shared" si="33"/>
        <v>0</v>
      </c>
      <c r="EG26" s="20">
        <f t="shared" si="34"/>
        <v>0</v>
      </c>
      <c r="EH26" s="20">
        <f t="shared" si="35"/>
        <v>0</v>
      </c>
      <c r="EI26" s="20">
        <f t="shared" si="36"/>
        <v>0</v>
      </c>
      <c r="EJ26" s="20">
        <f t="shared" si="37"/>
        <v>0</v>
      </c>
      <c r="EL26" s="152"/>
      <c r="EM26" s="152"/>
      <c r="EN26" s="152"/>
      <c r="EO26" s="152"/>
      <c r="EP26" s="152"/>
      <c r="EQ26" s="152"/>
      <c r="ER26" s="152"/>
      <c r="ES26" s="152"/>
      <c r="ET26" s="152"/>
      <c r="EU26" s="152"/>
      <c r="EW26" s="154">
        <f t="shared" si="60"/>
        <v>0</v>
      </c>
      <c r="EX26" s="154">
        <f t="shared" si="39"/>
        <v>0</v>
      </c>
      <c r="EY26" s="154">
        <f t="shared" si="40"/>
        <v>0</v>
      </c>
      <c r="EZ26" s="154">
        <f t="shared" si="41"/>
        <v>0</v>
      </c>
      <c r="FA26" s="154">
        <f t="shared" si="42"/>
        <v>0</v>
      </c>
      <c r="FB26" s="154">
        <f t="shared" si="43"/>
        <v>0</v>
      </c>
      <c r="FC26" s="154">
        <f t="shared" si="44"/>
        <v>0</v>
      </c>
      <c r="FD26" s="154">
        <f t="shared" si="45"/>
        <v>0</v>
      </c>
      <c r="FE26" s="154">
        <f t="shared" si="46"/>
        <v>0</v>
      </c>
      <c r="FF26" s="154">
        <f t="shared" si="47"/>
        <v>0</v>
      </c>
      <c r="FH26" s="154"/>
      <c r="FI26" s="154"/>
      <c r="FJ26" s="127"/>
      <c r="FK26" s="127"/>
      <c r="FL26" s="127"/>
      <c r="FM26" s="127"/>
      <c r="FN26" s="127"/>
      <c r="FO26" s="127"/>
      <c r="FP26" s="127"/>
      <c r="FQ26" s="127"/>
      <c r="FS26" s="20">
        <f t="shared" si="61"/>
        <v>0</v>
      </c>
      <c r="FT26" s="20">
        <f t="shared" si="49"/>
        <v>0</v>
      </c>
      <c r="FU26" s="128">
        <f t="shared" si="50"/>
        <v>0</v>
      </c>
      <c r="FV26" s="128">
        <f t="shared" si="51"/>
        <v>0</v>
      </c>
      <c r="FW26" s="128">
        <f t="shared" si="52"/>
        <v>0</v>
      </c>
      <c r="FX26" s="128">
        <f t="shared" si="53"/>
        <v>0</v>
      </c>
      <c r="FY26" s="128">
        <f t="shared" si="54"/>
        <v>0</v>
      </c>
      <c r="FZ26" s="128">
        <f t="shared" si="55"/>
        <v>0</v>
      </c>
      <c r="GA26" s="128">
        <f t="shared" si="56"/>
        <v>0</v>
      </c>
      <c r="GB26" s="128">
        <f t="shared" si="57"/>
        <v>0</v>
      </c>
    </row>
    <row r="27" spans="2:184" ht="13.5">
      <c r="B27" s="19"/>
      <c r="C27" s="19"/>
      <c r="D27" s="19"/>
      <c r="E27" s="151"/>
      <c r="F27" s="170"/>
      <c r="G27" s="151"/>
      <c r="H27" s="19"/>
      <c r="J27" s="152"/>
      <c r="K27" s="152"/>
      <c r="L27" s="152"/>
      <c r="M27" s="152"/>
      <c r="N27" s="152"/>
      <c r="O27" s="152"/>
      <c r="P27" s="152"/>
      <c r="Q27" s="152"/>
      <c r="R27" s="152"/>
      <c r="S27" s="152"/>
      <c r="U27" s="152"/>
      <c r="V27" s="152"/>
      <c r="W27" s="152"/>
      <c r="X27" s="152"/>
      <c r="Y27" s="152"/>
      <c r="Z27" s="152"/>
      <c r="AA27" s="152"/>
      <c r="AB27" s="152"/>
      <c r="AC27" s="152"/>
      <c r="AD27" s="152"/>
      <c r="AF27" s="165"/>
      <c r="AG27" s="165"/>
      <c r="AH27" s="165"/>
      <c r="AI27" s="165"/>
      <c r="AJ27" s="165"/>
      <c r="AK27" s="165"/>
      <c r="AL27" s="165"/>
      <c r="AM27" s="165"/>
      <c r="AN27" s="165"/>
      <c r="AO27" s="165"/>
      <c r="AQ27" s="152"/>
      <c r="AR27" s="152"/>
      <c r="AS27" s="152"/>
      <c r="AT27" s="152"/>
      <c r="AU27" s="152"/>
      <c r="AV27" s="152"/>
      <c r="AW27" s="152"/>
      <c r="AX27" s="152"/>
      <c r="AY27" s="152"/>
      <c r="AZ27" s="152"/>
      <c r="BB27" s="152"/>
      <c r="BC27" s="152"/>
      <c r="BD27" s="152"/>
      <c r="BE27" s="152"/>
      <c r="BF27" s="152"/>
      <c r="BG27" s="152"/>
      <c r="BH27" s="152"/>
      <c r="BI27" s="152"/>
      <c r="BJ27" s="152"/>
      <c r="BK27" s="152"/>
      <c r="BM27" s="152"/>
      <c r="BN27" s="152">
        <f t="shared" si="64"/>
        <v>0</v>
      </c>
      <c r="BO27" s="152">
        <f t="shared" si="64"/>
        <v>0</v>
      </c>
      <c r="BP27" s="152">
        <f t="shared" si="64"/>
        <v>0</v>
      </c>
      <c r="BQ27" s="152">
        <f t="shared" si="64"/>
        <v>0</v>
      </c>
      <c r="BR27" s="152">
        <f t="shared" si="64"/>
        <v>0</v>
      </c>
      <c r="BS27" s="152">
        <f t="shared" si="64"/>
        <v>0</v>
      </c>
      <c r="BT27" s="152">
        <f t="shared" si="64"/>
        <v>0</v>
      </c>
      <c r="BU27" s="152">
        <f t="shared" si="64"/>
        <v>0</v>
      </c>
      <c r="BV27" s="152">
        <f t="shared" si="64"/>
        <v>0</v>
      </c>
      <c r="BX27" s="160"/>
      <c r="BY27" s="159"/>
      <c r="BZ27" s="159"/>
      <c r="CA27" s="159"/>
      <c r="CB27" s="159"/>
      <c r="CC27" s="159"/>
      <c r="CD27" s="159"/>
      <c r="CE27" s="159"/>
      <c r="CF27" s="159"/>
      <c r="CG27" s="159"/>
      <c r="CI27" s="453"/>
      <c r="CJ27" s="453">
        <f t="shared" si="65"/>
        <v>0</v>
      </c>
      <c r="CK27" s="453">
        <f t="shared" si="65"/>
        <v>0</v>
      </c>
      <c r="CL27" s="453">
        <f t="shared" si="65"/>
        <v>0</v>
      </c>
      <c r="CM27" s="453"/>
      <c r="CN27" s="453"/>
      <c r="CO27" s="453"/>
      <c r="CP27" s="453"/>
      <c r="CQ27" s="453"/>
      <c r="CR27" s="453"/>
      <c r="CT27" s="25"/>
      <c r="CU27" s="168"/>
      <c r="CV27" s="168"/>
      <c r="CW27" s="168"/>
      <c r="CX27" s="168"/>
      <c r="CY27" s="168"/>
      <c r="CZ27" s="168"/>
      <c r="DA27" s="168"/>
      <c r="DB27" s="168"/>
      <c r="DC27" s="168"/>
      <c r="DE27" s="20">
        <f t="shared" si="66"/>
        <v>0</v>
      </c>
      <c r="DF27" s="20">
        <f t="shared" si="67"/>
        <v>0</v>
      </c>
      <c r="DG27" s="20">
        <f t="shared" si="68"/>
        <v>0</v>
      </c>
      <c r="DH27" s="20">
        <f t="shared" si="69"/>
        <v>0</v>
      </c>
      <c r="DI27" s="20">
        <f t="shared" si="70"/>
        <v>0</v>
      </c>
      <c r="DJ27" s="20">
        <f t="shared" si="71"/>
        <v>0</v>
      </c>
      <c r="DK27" s="20">
        <f t="shared" si="72"/>
        <v>0</v>
      </c>
      <c r="DL27" s="20">
        <f t="shared" si="73"/>
        <v>0</v>
      </c>
      <c r="DM27" s="20">
        <f t="shared" si="74"/>
        <v>0</v>
      </c>
      <c r="DN27" s="20">
        <f t="shared" si="74"/>
        <v>0</v>
      </c>
      <c r="DP27" s="20"/>
      <c r="DQ27" s="20"/>
      <c r="DR27" s="20"/>
      <c r="DS27" s="20"/>
      <c r="DT27" s="20"/>
      <c r="DU27" s="20"/>
      <c r="DV27" s="20"/>
      <c r="DW27" s="20"/>
      <c r="DX27" s="20"/>
      <c r="DY27" s="20"/>
      <c r="EA27" s="20">
        <f t="shared" si="59"/>
        <v>0</v>
      </c>
      <c r="EB27" s="20">
        <f t="shared" si="29"/>
        <v>0</v>
      </c>
      <c r="EC27" s="20">
        <f t="shared" si="30"/>
        <v>0</v>
      </c>
      <c r="ED27" s="20">
        <f t="shared" si="31"/>
        <v>0</v>
      </c>
      <c r="EE27" s="20">
        <f t="shared" si="32"/>
        <v>0</v>
      </c>
      <c r="EF27" s="20">
        <f t="shared" si="33"/>
        <v>0</v>
      </c>
      <c r="EG27" s="20">
        <f t="shared" si="34"/>
        <v>0</v>
      </c>
      <c r="EH27" s="20">
        <f t="shared" si="35"/>
        <v>0</v>
      </c>
      <c r="EI27" s="20">
        <f t="shared" si="36"/>
        <v>0</v>
      </c>
      <c r="EJ27" s="20">
        <f t="shared" si="37"/>
        <v>0</v>
      </c>
      <c r="EL27" s="152"/>
      <c r="EM27" s="152"/>
      <c r="EN27" s="152"/>
      <c r="EO27" s="152"/>
      <c r="EP27" s="152"/>
      <c r="EQ27" s="152"/>
      <c r="ER27" s="152"/>
      <c r="ES27" s="152"/>
      <c r="ET27" s="152"/>
      <c r="EU27" s="152"/>
      <c r="EW27" s="154">
        <f t="shared" si="60"/>
        <v>0</v>
      </c>
      <c r="EX27" s="154">
        <f t="shared" si="39"/>
        <v>0</v>
      </c>
      <c r="EY27" s="154">
        <f t="shared" si="40"/>
        <v>0</v>
      </c>
      <c r="EZ27" s="154">
        <f t="shared" si="41"/>
        <v>0</v>
      </c>
      <c r="FA27" s="154">
        <f t="shared" si="42"/>
        <v>0</v>
      </c>
      <c r="FB27" s="154">
        <f t="shared" si="43"/>
        <v>0</v>
      </c>
      <c r="FC27" s="154">
        <f t="shared" si="44"/>
        <v>0</v>
      </c>
      <c r="FD27" s="154">
        <f t="shared" si="45"/>
        <v>0</v>
      </c>
      <c r="FE27" s="154">
        <f t="shared" si="46"/>
        <v>0</v>
      </c>
      <c r="FF27" s="154">
        <f t="shared" si="47"/>
        <v>0</v>
      </c>
      <c r="FH27" s="154"/>
      <c r="FI27" s="154"/>
      <c r="FJ27" s="127"/>
      <c r="FK27" s="127"/>
      <c r="FL27" s="127"/>
      <c r="FM27" s="127"/>
      <c r="FN27" s="127"/>
      <c r="FO27" s="127"/>
      <c r="FP27" s="127"/>
      <c r="FQ27" s="127"/>
      <c r="FS27" s="20">
        <f t="shared" si="61"/>
        <v>0</v>
      </c>
      <c r="FT27" s="20">
        <f t="shared" si="49"/>
        <v>0</v>
      </c>
      <c r="FU27" s="128">
        <f t="shared" si="50"/>
        <v>0</v>
      </c>
      <c r="FV27" s="128">
        <f t="shared" si="51"/>
        <v>0</v>
      </c>
      <c r="FW27" s="128">
        <f t="shared" si="52"/>
        <v>0</v>
      </c>
      <c r="FX27" s="128">
        <f t="shared" si="53"/>
        <v>0</v>
      </c>
      <c r="FY27" s="128">
        <f t="shared" si="54"/>
        <v>0</v>
      </c>
      <c r="FZ27" s="128">
        <f t="shared" si="55"/>
        <v>0</v>
      </c>
      <c r="GA27" s="128">
        <f t="shared" si="56"/>
        <v>0</v>
      </c>
      <c r="GB27" s="128">
        <f t="shared" si="57"/>
        <v>0</v>
      </c>
    </row>
    <row r="28" spans="2:184" ht="13.5">
      <c r="B28" s="19"/>
      <c r="C28" s="19"/>
      <c r="D28" s="19"/>
      <c r="E28" s="151"/>
      <c r="F28" s="170"/>
      <c r="G28" s="151"/>
      <c r="H28" s="19"/>
      <c r="J28" s="152"/>
      <c r="K28" s="152"/>
      <c r="L28" s="152"/>
      <c r="M28" s="152"/>
      <c r="N28" s="152"/>
      <c r="O28" s="152"/>
      <c r="P28" s="152"/>
      <c r="Q28" s="152"/>
      <c r="R28" s="152"/>
      <c r="S28" s="152"/>
      <c r="U28" s="152"/>
      <c r="V28" s="152"/>
      <c r="W28" s="152"/>
      <c r="X28" s="152"/>
      <c r="Y28" s="152"/>
      <c r="Z28" s="152"/>
      <c r="AA28" s="152"/>
      <c r="AB28" s="152"/>
      <c r="AC28" s="152"/>
      <c r="AD28" s="152"/>
      <c r="AF28" s="165"/>
      <c r="AG28" s="165"/>
      <c r="AH28" s="165"/>
      <c r="AI28" s="165"/>
      <c r="AJ28" s="165"/>
      <c r="AK28" s="165"/>
      <c r="AL28" s="165"/>
      <c r="AM28" s="165"/>
      <c r="AN28" s="165"/>
      <c r="AO28" s="165"/>
      <c r="AQ28" s="152"/>
      <c r="AR28" s="152"/>
      <c r="AS28" s="152"/>
      <c r="AT28" s="152"/>
      <c r="AU28" s="152"/>
      <c r="AV28" s="152"/>
      <c r="AW28" s="152"/>
      <c r="AX28" s="152"/>
      <c r="AY28" s="152"/>
      <c r="AZ28" s="152"/>
      <c r="BB28" s="152"/>
      <c r="BC28" s="152"/>
      <c r="BD28" s="152"/>
      <c r="BE28" s="152"/>
      <c r="BF28" s="152"/>
      <c r="BG28" s="152"/>
      <c r="BH28" s="152"/>
      <c r="BI28" s="152"/>
      <c r="BJ28" s="152"/>
      <c r="BK28" s="152"/>
      <c r="BM28" s="152"/>
      <c r="BN28" s="152">
        <f t="shared" si="64"/>
        <v>0</v>
      </c>
      <c r="BO28" s="152">
        <f t="shared" si="64"/>
        <v>0</v>
      </c>
      <c r="BP28" s="152">
        <f t="shared" si="64"/>
        <v>0</v>
      </c>
      <c r="BQ28" s="152">
        <f t="shared" si="64"/>
        <v>0</v>
      </c>
      <c r="BR28" s="152">
        <f t="shared" si="64"/>
        <v>0</v>
      </c>
      <c r="BS28" s="152">
        <f t="shared" si="64"/>
        <v>0</v>
      </c>
      <c r="BT28" s="152">
        <f t="shared" si="64"/>
        <v>0</v>
      </c>
      <c r="BU28" s="152">
        <f t="shared" si="64"/>
        <v>0</v>
      </c>
      <c r="BV28" s="152">
        <f t="shared" si="64"/>
        <v>0</v>
      </c>
      <c r="BX28" s="160"/>
      <c r="BY28" s="159"/>
      <c r="BZ28" s="159"/>
      <c r="CA28" s="159"/>
      <c r="CB28" s="159"/>
      <c r="CC28" s="159"/>
      <c r="CD28" s="159"/>
      <c r="CE28" s="159"/>
      <c r="CF28" s="159"/>
      <c r="CG28" s="159"/>
      <c r="CI28" s="453"/>
      <c r="CJ28" s="453">
        <f t="shared" si="65"/>
        <v>0</v>
      </c>
      <c r="CK28" s="453">
        <f t="shared" si="65"/>
        <v>0</v>
      </c>
      <c r="CL28" s="453">
        <f t="shared" si="65"/>
        <v>0</v>
      </c>
      <c r="CM28" s="453"/>
      <c r="CN28" s="453"/>
      <c r="CO28" s="453"/>
      <c r="CP28" s="453"/>
      <c r="CQ28" s="453"/>
      <c r="CR28" s="453"/>
      <c r="CT28" s="25"/>
      <c r="CU28" s="168"/>
      <c r="CV28" s="168"/>
      <c r="CW28" s="168"/>
      <c r="CX28" s="168"/>
      <c r="CY28" s="168"/>
      <c r="CZ28" s="168"/>
      <c r="DA28" s="168"/>
      <c r="DB28" s="168"/>
      <c r="DC28" s="168"/>
      <c r="DE28" s="20">
        <f t="shared" si="66"/>
        <v>0</v>
      </c>
      <c r="DF28" s="20">
        <f t="shared" si="67"/>
        <v>0</v>
      </c>
      <c r="DG28" s="20">
        <f t="shared" si="68"/>
        <v>0</v>
      </c>
      <c r="DH28" s="20">
        <f t="shared" si="69"/>
        <v>0</v>
      </c>
      <c r="DI28" s="20">
        <f t="shared" si="70"/>
        <v>0</v>
      </c>
      <c r="DJ28" s="20">
        <f t="shared" si="71"/>
        <v>0</v>
      </c>
      <c r="DK28" s="20">
        <f t="shared" si="72"/>
        <v>0</v>
      </c>
      <c r="DL28" s="20">
        <f t="shared" si="73"/>
        <v>0</v>
      </c>
      <c r="DM28" s="20">
        <f t="shared" si="74"/>
        <v>0</v>
      </c>
      <c r="DN28" s="20">
        <f t="shared" si="74"/>
        <v>0</v>
      </c>
      <c r="DP28" s="20"/>
      <c r="DQ28" s="20"/>
      <c r="DR28" s="20"/>
      <c r="DS28" s="20"/>
      <c r="DT28" s="20"/>
      <c r="DU28" s="20"/>
      <c r="DV28" s="20"/>
      <c r="DW28" s="20"/>
      <c r="DX28" s="20"/>
      <c r="DY28" s="20"/>
      <c r="EA28" s="20">
        <f t="shared" si="59"/>
        <v>0</v>
      </c>
      <c r="EB28" s="20">
        <f t="shared" si="29"/>
        <v>0</v>
      </c>
      <c r="EC28" s="20">
        <f t="shared" si="30"/>
        <v>0</v>
      </c>
      <c r="ED28" s="20">
        <f t="shared" si="31"/>
        <v>0</v>
      </c>
      <c r="EE28" s="20">
        <f t="shared" si="32"/>
        <v>0</v>
      </c>
      <c r="EF28" s="20">
        <f t="shared" si="33"/>
        <v>0</v>
      </c>
      <c r="EG28" s="20">
        <f t="shared" si="34"/>
        <v>0</v>
      </c>
      <c r="EH28" s="20">
        <f t="shared" si="35"/>
        <v>0</v>
      </c>
      <c r="EI28" s="20">
        <f t="shared" si="36"/>
        <v>0</v>
      </c>
      <c r="EJ28" s="20">
        <f t="shared" si="37"/>
        <v>0</v>
      </c>
      <c r="EL28" s="152"/>
      <c r="EM28" s="152"/>
      <c r="EN28" s="152"/>
      <c r="EO28" s="152"/>
      <c r="EP28" s="152"/>
      <c r="EQ28" s="152"/>
      <c r="ER28" s="152"/>
      <c r="ES28" s="152"/>
      <c r="ET28" s="152"/>
      <c r="EU28" s="152"/>
      <c r="EW28" s="154">
        <f t="shared" si="60"/>
        <v>0</v>
      </c>
      <c r="EX28" s="154">
        <f t="shared" si="39"/>
        <v>0</v>
      </c>
      <c r="EY28" s="154">
        <f t="shared" si="40"/>
        <v>0</v>
      </c>
      <c r="EZ28" s="154">
        <f t="shared" si="41"/>
        <v>0</v>
      </c>
      <c r="FA28" s="154">
        <f t="shared" si="42"/>
        <v>0</v>
      </c>
      <c r="FB28" s="154">
        <f t="shared" si="43"/>
        <v>0</v>
      </c>
      <c r="FC28" s="154">
        <f t="shared" si="44"/>
        <v>0</v>
      </c>
      <c r="FD28" s="154">
        <f t="shared" si="45"/>
        <v>0</v>
      </c>
      <c r="FE28" s="154">
        <f t="shared" si="46"/>
        <v>0</v>
      </c>
      <c r="FF28" s="154">
        <f t="shared" si="47"/>
        <v>0</v>
      </c>
      <c r="FH28" s="154"/>
      <c r="FI28" s="154"/>
      <c r="FJ28" s="127"/>
      <c r="FK28" s="127"/>
      <c r="FL28" s="127"/>
      <c r="FM28" s="127"/>
      <c r="FN28" s="127"/>
      <c r="FO28" s="127"/>
      <c r="FP28" s="127"/>
      <c r="FQ28" s="127"/>
      <c r="FS28" s="20">
        <f t="shared" si="61"/>
        <v>0</v>
      </c>
      <c r="FT28" s="20">
        <f t="shared" si="49"/>
        <v>0</v>
      </c>
      <c r="FU28" s="128">
        <f t="shared" si="50"/>
        <v>0</v>
      </c>
      <c r="FV28" s="128">
        <f t="shared" si="51"/>
        <v>0</v>
      </c>
      <c r="FW28" s="128">
        <f t="shared" si="52"/>
        <v>0</v>
      </c>
      <c r="FX28" s="128">
        <f t="shared" si="53"/>
        <v>0</v>
      </c>
      <c r="FY28" s="128">
        <f t="shared" si="54"/>
        <v>0</v>
      </c>
      <c r="FZ28" s="128">
        <f t="shared" si="55"/>
        <v>0</v>
      </c>
      <c r="GA28" s="128">
        <f t="shared" si="56"/>
        <v>0</v>
      </c>
      <c r="GB28" s="128">
        <f t="shared" si="57"/>
        <v>0</v>
      </c>
    </row>
    <row r="29" spans="2:184" ht="13.5">
      <c r="B29" s="19"/>
      <c r="C29" s="19"/>
      <c r="D29" s="19"/>
      <c r="E29" s="151"/>
      <c r="F29" s="170"/>
      <c r="G29" s="151"/>
      <c r="H29" s="19"/>
      <c r="J29" s="152"/>
      <c r="K29" s="152"/>
      <c r="L29" s="152"/>
      <c r="M29" s="152"/>
      <c r="N29" s="152"/>
      <c r="O29" s="152"/>
      <c r="P29" s="152"/>
      <c r="Q29" s="152"/>
      <c r="R29" s="152"/>
      <c r="S29" s="152"/>
      <c r="U29" s="152"/>
      <c r="V29" s="152"/>
      <c r="W29" s="152"/>
      <c r="X29" s="152"/>
      <c r="Y29" s="152"/>
      <c r="Z29" s="152"/>
      <c r="AA29" s="152"/>
      <c r="AB29" s="152"/>
      <c r="AC29" s="152"/>
      <c r="AD29" s="152"/>
      <c r="AF29" s="165"/>
      <c r="AG29" s="165"/>
      <c r="AH29" s="165"/>
      <c r="AI29" s="165"/>
      <c r="AJ29" s="165"/>
      <c r="AK29" s="165"/>
      <c r="AL29" s="165"/>
      <c r="AM29" s="165"/>
      <c r="AN29" s="165"/>
      <c r="AO29" s="165"/>
      <c r="AQ29" s="152"/>
      <c r="AR29" s="152"/>
      <c r="AS29" s="152"/>
      <c r="AT29" s="152"/>
      <c r="AU29" s="152"/>
      <c r="AV29" s="152"/>
      <c r="AW29" s="152"/>
      <c r="AX29" s="152"/>
      <c r="AY29" s="152"/>
      <c r="AZ29" s="152"/>
      <c r="BB29" s="152"/>
      <c r="BC29" s="152"/>
      <c r="BD29" s="152"/>
      <c r="BE29" s="152"/>
      <c r="BF29" s="152"/>
      <c r="BG29" s="152"/>
      <c r="BH29" s="152"/>
      <c r="BI29" s="152"/>
      <c r="BJ29" s="152"/>
      <c r="BK29" s="152"/>
      <c r="BM29" s="152"/>
      <c r="BN29" s="152">
        <f t="shared" si="64"/>
        <v>0</v>
      </c>
      <c r="BO29" s="152">
        <f t="shared" si="64"/>
        <v>0</v>
      </c>
      <c r="BP29" s="152">
        <f t="shared" si="64"/>
        <v>0</v>
      </c>
      <c r="BQ29" s="152">
        <f t="shared" si="64"/>
        <v>0</v>
      </c>
      <c r="BR29" s="152">
        <f t="shared" si="64"/>
        <v>0</v>
      </c>
      <c r="BS29" s="152">
        <f t="shared" si="64"/>
        <v>0</v>
      </c>
      <c r="BT29" s="152">
        <f t="shared" si="64"/>
        <v>0</v>
      </c>
      <c r="BU29" s="152">
        <f t="shared" si="64"/>
        <v>0</v>
      </c>
      <c r="BV29" s="152">
        <f t="shared" si="64"/>
        <v>0</v>
      </c>
      <c r="BX29" s="160"/>
      <c r="BY29" s="159"/>
      <c r="BZ29" s="159"/>
      <c r="CA29" s="159"/>
      <c r="CB29" s="159"/>
      <c r="CC29" s="159"/>
      <c r="CD29" s="159"/>
      <c r="CE29" s="159"/>
      <c r="CF29" s="159"/>
      <c r="CG29" s="159"/>
      <c r="CI29" s="453"/>
      <c r="CJ29" s="453">
        <f t="shared" si="65"/>
        <v>0</v>
      </c>
      <c r="CK29" s="453">
        <f t="shared" si="65"/>
        <v>0</v>
      </c>
      <c r="CL29" s="453">
        <f t="shared" si="65"/>
        <v>0</v>
      </c>
      <c r="CM29" s="453"/>
      <c r="CN29" s="453"/>
      <c r="CO29" s="453"/>
      <c r="CP29" s="453"/>
      <c r="CQ29" s="453"/>
      <c r="CR29" s="453"/>
      <c r="CT29" s="25"/>
      <c r="CU29" s="168"/>
      <c r="CV29" s="168"/>
      <c r="CW29" s="168"/>
      <c r="CX29" s="168"/>
      <c r="CY29" s="168"/>
      <c r="CZ29" s="168"/>
      <c r="DA29" s="168"/>
      <c r="DB29" s="168"/>
      <c r="DC29" s="168"/>
      <c r="DE29" s="20">
        <f t="shared" si="66"/>
        <v>0</v>
      </c>
      <c r="DF29" s="20">
        <f t="shared" si="67"/>
        <v>0</v>
      </c>
      <c r="DG29" s="20">
        <f t="shared" si="68"/>
        <v>0</v>
      </c>
      <c r="DH29" s="20">
        <f t="shared" si="69"/>
        <v>0</v>
      </c>
      <c r="DI29" s="20">
        <f t="shared" si="70"/>
        <v>0</v>
      </c>
      <c r="DJ29" s="20">
        <f t="shared" si="71"/>
        <v>0</v>
      </c>
      <c r="DK29" s="20">
        <f t="shared" si="72"/>
        <v>0</v>
      </c>
      <c r="DL29" s="20">
        <f t="shared" si="73"/>
        <v>0</v>
      </c>
      <c r="DM29" s="20">
        <f t="shared" si="74"/>
        <v>0</v>
      </c>
      <c r="DN29" s="20">
        <f t="shared" si="74"/>
        <v>0</v>
      </c>
      <c r="DP29" s="20"/>
      <c r="DQ29" s="20"/>
      <c r="DR29" s="20"/>
      <c r="DS29" s="20"/>
      <c r="DT29" s="20"/>
      <c r="DU29" s="20"/>
      <c r="DV29" s="20"/>
      <c r="DW29" s="20"/>
      <c r="DX29" s="20"/>
      <c r="DY29" s="20"/>
      <c r="EA29" s="20">
        <f t="shared" si="59"/>
        <v>0</v>
      </c>
      <c r="EB29" s="20">
        <f t="shared" si="29"/>
        <v>0</v>
      </c>
      <c r="EC29" s="20">
        <f t="shared" si="30"/>
        <v>0</v>
      </c>
      <c r="ED29" s="20">
        <f t="shared" si="31"/>
        <v>0</v>
      </c>
      <c r="EE29" s="20">
        <f t="shared" si="32"/>
        <v>0</v>
      </c>
      <c r="EF29" s="20">
        <f t="shared" si="33"/>
        <v>0</v>
      </c>
      <c r="EG29" s="20">
        <f t="shared" si="34"/>
        <v>0</v>
      </c>
      <c r="EH29" s="20">
        <f t="shared" si="35"/>
        <v>0</v>
      </c>
      <c r="EI29" s="20">
        <f t="shared" si="36"/>
        <v>0</v>
      </c>
      <c r="EJ29" s="20">
        <f t="shared" si="37"/>
        <v>0</v>
      </c>
      <c r="EL29" s="152"/>
      <c r="EM29" s="152"/>
      <c r="EN29" s="152"/>
      <c r="EO29" s="152"/>
      <c r="EP29" s="152"/>
      <c r="EQ29" s="152"/>
      <c r="ER29" s="152"/>
      <c r="ES29" s="152"/>
      <c r="ET29" s="152"/>
      <c r="EU29" s="152"/>
      <c r="EW29" s="154">
        <f t="shared" si="60"/>
        <v>0</v>
      </c>
      <c r="EX29" s="154">
        <f t="shared" si="39"/>
        <v>0</v>
      </c>
      <c r="EY29" s="154">
        <f t="shared" si="40"/>
        <v>0</v>
      </c>
      <c r="EZ29" s="154">
        <f t="shared" si="41"/>
        <v>0</v>
      </c>
      <c r="FA29" s="154">
        <f t="shared" si="42"/>
        <v>0</v>
      </c>
      <c r="FB29" s="154">
        <f t="shared" si="43"/>
        <v>0</v>
      </c>
      <c r="FC29" s="154">
        <f t="shared" si="44"/>
        <v>0</v>
      </c>
      <c r="FD29" s="154">
        <f t="shared" si="45"/>
        <v>0</v>
      </c>
      <c r="FE29" s="154">
        <f t="shared" si="46"/>
        <v>0</v>
      </c>
      <c r="FF29" s="154">
        <f t="shared" si="47"/>
        <v>0</v>
      </c>
      <c r="FH29" s="154"/>
      <c r="FI29" s="154"/>
      <c r="FJ29" s="127"/>
      <c r="FK29" s="127"/>
      <c r="FL29" s="127"/>
      <c r="FM29" s="127"/>
      <c r="FN29" s="127"/>
      <c r="FO29" s="127"/>
      <c r="FP29" s="127"/>
      <c r="FQ29" s="127"/>
      <c r="FS29" s="20">
        <f t="shared" si="61"/>
        <v>0</v>
      </c>
      <c r="FT29" s="20">
        <f t="shared" si="49"/>
        <v>0</v>
      </c>
      <c r="FU29" s="128">
        <f t="shared" si="50"/>
        <v>0</v>
      </c>
      <c r="FV29" s="128">
        <f t="shared" si="51"/>
        <v>0</v>
      </c>
      <c r="FW29" s="128">
        <f t="shared" si="52"/>
        <v>0</v>
      </c>
      <c r="FX29" s="128">
        <f t="shared" si="53"/>
        <v>0</v>
      </c>
      <c r="FY29" s="128">
        <f t="shared" si="54"/>
        <v>0</v>
      </c>
      <c r="FZ29" s="128">
        <f t="shared" si="55"/>
        <v>0</v>
      </c>
      <c r="GA29" s="128">
        <f t="shared" si="56"/>
        <v>0</v>
      </c>
      <c r="GB29" s="128">
        <f t="shared" si="57"/>
        <v>0</v>
      </c>
    </row>
    <row r="30" spans="2:184" ht="13.5">
      <c r="B30" s="19"/>
      <c r="C30" s="19"/>
      <c r="D30" s="19"/>
      <c r="E30" s="151"/>
      <c r="F30" s="170"/>
      <c r="G30" s="151"/>
      <c r="H30" s="19"/>
      <c r="J30" s="152"/>
      <c r="K30" s="152"/>
      <c r="L30" s="152"/>
      <c r="M30" s="152"/>
      <c r="N30" s="152"/>
      <c r="O30" s="152"/>
      <c r="P30" s="152"/>
      <c r="Q30" s="152"/>
      <c r="R30" s="152"/>
      <c r="S30" s="152"/>
      <c r="U30" s="152"/>
      <c r="V30" s="152"/>
      <c r="W30" s="152"/>
      <c r="X30" s="152"/>
      <c r="Y30" s="152"/>
      <c r="Z30" s="152"/>
      <c r="AA30" s="152"/>
      <c r="AB30" s="152"/>
      <c r="AC30" s="152"/>
      <c r="AD30" s="152"/>
      <c r="AF30" s="165"/>
      <c r="AG30" s="165"/>
      <c r="AH30" s="165"/>
      <c r="AI30" s="165"/>
      <c r="AJ30" s="165"/>
      <c r="AK30" s="165"/>
      <c r="AL30" s="165"/>
      <c r="AM30" s="165"/>
      <c r="AN30" s="165"/>
      <c r="AO30" s="165"/>
      <c r="AQ30" s="152"/>
      <c r="AR30" s="152"/>
      <c r="AS30" s="152"/>
      <c r="AT30" s="152"/>
      <c r="AU30" s="152"/>
      <c r="AV30" s="152"/>
      <c r="AW30" s="152"/>
      <c r="AX30" s="152"/>
      <c r="AY30" s="152"/>
      <c r="AZ30" s="152"/>
      <c r="BB30" s="152"/>
      <c r="BC30" s="152"/>
      <c r="BD30" s="152"/>
      <c r="BE30" s="152"/>
      <c r="BF30" s="152"/>
      <c r="BG30" s="152"/>
      <c r="BH30" s="152"/>
      <c r="BI30" s="152"/>
      <c r="BJ30" s="152"/>
      <c r="BK30" s="152"/>
      <c r="BM30" s="152"/>
      <c r="BN30" s="152">
        <f t="shared" si="64"/>
        <v>0</v>
      </c>
      <c r="BO30" s="152">
        <f t="shared" si="64"/>
        <v>0</v>
      </c>
      <c r="BP30" s="152">
        <f t="shared" si="64"/>
        <v>0</v>
      </c>
      <c r="BQ30" s="152">
        <f t="shared" si="64"/>
        <v>0</v>
      </c>
      <c r="BR30" s="152">
        <f t="shared" si="64"/>
        <v>0</v>
      </c>
      <c r="BS30" s="152">
        <f t="shared" si="64"/>
        <v>0</v>
      </c>
      <c r="BT30" s="152">
        <f t="shared" si="64"/>
        <v>0</v>
      </c>
      <c r="BU30" s="152">
        <f t="shared" si="64"/>
        <v>0</v>
      </c>
      <c r="BV30" s="152">
        <f t="shared" si="64"/>
        <v>0</v>
      </c>
      <c r="BX30" s="160"/>
      <c r="BY30" s="159"/>
      <c r="BZ30" s="159"/>
      <c r="CA30" s="159"/>
      <c r="CB30" s="159"/>
      <c r="CC30" s="159"/>
      <c r="CD30" s="159"/>
      <c r="CE30" s="159"/>
      <c r="CF30" s="159"/>
      <c r="CG30" s="159"/>
      <c r="CI30" s="453"/>
      <c r="CJ30" s="453">
        <f t="shared" si="65"/>
        <v>0</v>
      </c>
      <c r="CK30" s="453">
        <f t="shared" si="65"/>
        <v>0</v>
      </c>
      <c r="CL30" s="453">
        <f t="shared" si="65"/>
        <v>0</v>
      </c>
      <c r="CM30" s="453"/>
      <c r="CN30" s="453"/>
      <c r="CO30" s="453"/>
      <c r="CP30" s="453"/>
      <c r="CQ30" s="453"/>
      <c r="CR30" s="453"/>
      <c r="CT30" s="25"/>
      <c r="CU30" s="168"/>
      <c r="CV30" s="168"/>
      <c r="CW30" s="168"/>
      <c r="CX30" s="168"/>
      <c r="CY30" s="168"/>
      <c r="CZ30" s="168"/>
      <c r="DA30" s="168"/>
      <c r="DB30" s="168"/>
      <c r="DC30" s="168"/>
      <c r="DE30" s="20">
        <f t="shared" si="66"/>
        <v>0</v>
      </c>
      <c r="DF30" s="20">
        <f t="shared" si="67"/>
        <v>0</v>
      </c>
      <c r="DG30" s="20">
        <f t="shared" si="68"/>
        <v>0</v>
      </c>
      <c r="DH30" s="20">
        <f t="shared" si="69"/>
        <v>0</v>
      </c>
      <c r="DI30" s="20">
        <f t="shared" si="70"/>
        <v>0</v>
      </c>
      <c r="DJ30" s="20">
        <f t="shared" si="71"/>
        <v>0</v>
      </c>
      <c r="DK30" s="20">
        <f t="shared" si="72"/>
        <v>0</v>
      </c>
      <c r="DL30" s="20">
        <f t="shared" si="73"/>
        <v>0</v>
      </c>
      <c r="DM30" s="20">
        <f t="shared" si="74"/>
        <v>0</v>
      </c>
      <c r="DN30" s="20">
        <f t="shared" si="74"/>
        <v>0</v>
      </c>
      <c r="DP30" s="20"/>
      <c r="DQ30" s="20"/>
      <c r="DR30" s="20"/>
      <c r="DS30" s="20"/>
      <c r="DT30" s="20"/>
      <c r="DU30" s="20"/>
      <c r="DV30" s="20"/>
      <c r="DW30" s="20"/>
      <c r="DX30" s="20"/>
      <c r="DY30" s="20"/>
      <c r="EA30" s="20">
        <f t="shared" si="59"/>
        <v>0</v>
      </c>
      <c r="EB30" s="20">
        <f t="shared" si="29"/>
        <v>0</v>
      </c>
      <c r="EC30" s="20">
        <f t="shared" si="30"/>
        <v>0</v>
      </c>
      <c r="ED30" s="20">
        <f t="shared" si="31"/>
        <v>0</v>
      </c>
      <c r="EE30" s="20">
        <f t="shared" si="32"/>
        <v>0</v>
      </c>
      <c r="EF30" s="20">
        <f t="shared" si="33"/>
        <v>0</v>
      </c>
      <c r="EG30" s="20">
        <f t="shared" si="34"/>
        <v>0</v>
      </c>
      <c r="EH30" s="20">
        <f t="shared" si="35"/>
        <v>0</v>
      </c>
      <c r="EI30" s="20">
        <f t="shared" si="36"/>
        <v>0</v>
      </c>
      <c r="EJ30" s="20">
        <f t="shared" si="37"/>
        <v>0</v>
      </c>
      <c r="EL30" s="152"/>
      <c r="EM30" s="152"/>
      <c r="EN30" s="152"/>
      <c r="EO30" s="152"/>
      <c r="EP30" s="152"/>
      <c r="EQ30" s="152"/>
      <c r="ER30" s="152"/>
      <c r="ES30" s="152"/>
      <c r="ET30" s="152"/>
      <c r="EU30" s="152"/>
      <c r="EW30" s="154">
        <f t="shared" si="60"/>
        <v>0</v>
      </c>
      <c r="EX30" s="154">
        <f t="shared" si="39"/>
        <v>0</v>
      </c>
      <c r="EY30" s="154">
        <f t="shared" si="40"/>
        <v>0</v>
      </c>
      <c r="EZ30" s="154">
        <f t="shared" si="41"/>
        <v>0</v>
      </c>
      <c r="FA30" s="154">
        <f t="shared" si="42"/>
        <v>0</v>
      </c>
      <c r="FB30" s="154">
        <f t="shared" si="43"/>
        <v>0</v>
      </c>
      <c r="FC30" s="154">
        <f t="shared" si="44"/>
        <v>0</v>
      </c>
      <c r="FD30" s="154">
        <f t="shared" si="45"/>
        <v>0</v>
      </c>
      <c r="FE30" s="154">
        <f t="shared" si="46"/>
        <v>0</v>
      </c>
      <c r="FF30" s="154">
        <f t="shared" si="47"/>
        <v>0</v>
      </c>
      <c r="FH30" s="154"/>
      <c r="FI30" s="154"/>
      <c r="FJ30" s="127"/>
      <c r="FK30" s="127"/>
      <c r="FL30" s="127"/>
      <c r="FM30" s="127"/>
      <c r="FN30" s="127"/>
      <c r="FO30" s="127"/>
      <c r="FP30" s="127"/>
      <c r="FQ30" s="127"/>
      <c r="FS30" s="20">
        <f t="shared" si="61"/>
        <v>0</v>
      </c>
      <c r="FT30" s="20">
        <f t="shared" si="49"/>
        <v>0</v>
      </c>
      <c r="FU30" s="128">
        <f t="shared" si="50"/>
        <v>0</v>
      </c>
      <c r="FV30" s="128">
        <f t="shared" si="51"/>
        <v>0</v>
      </c>
      <c r="FW30" s="128">
        <f t="shared" si="52"/>
        <v>0</v>
      </c>
      <c r="FX30" s="128">
        <f t="shared" si="53"/>
        <v>0</v>
      </c>
      <c r="FY30" s="128">
        <f t="shared" si="54"/>
        <v>0</v>
      </c>
      <c r="FZ30" s="128">
        <f t="shared" si="55"/>
        <v>0</v>
      </c>
      <c r="GA30" s="128">
        <f t="shared" si="56"/>
        <v>0</v>
      </c>
      <c r="GB30" s="128">
        <f t="shared" si="57"/>
        <v>0</v>
      </c>
    </row>
    <row r="31" spans="2:184" ht="13.5">
      <c r="B31" s="19"/>
      <c r="C31" s="19"/>
      <c r="D31" s="19"/>
      <c r="E31" s="151"/>
      <c r="F31" s="170"/>
      <c r="G31" s="151"/>
      <c r="H31" s="19"/>
      <c r="J31" s="152"/>
      <c r="K31" s="152"/>
      <c r="L31" s="152"/>
      <c r="M31" s="152"/>
      <c r="N31" s="152"/>
      <c r="O31" s="152"/>
      <c r="P31" s="152"/>
      <c r="Q31" s="152"/>
      <c r="R31" s="152"/>
      <c r="S31" s="152"/>
      <c r="U31" s="152"/>
      <c r="V31" s="152"/>
      <c r="W31" s="152"/>
      <c r="X31" s="152"/>
      <c r="Y31" s="152"/>
      <c r="Z31" s="152"/>
      <c r="AA31" s="152"/>
      <c r="AB31" s="152"/>
      <c r="AC31" s="152"/>
      <c r="AD31" s="152"/>
      <c r="AF31" s="165"/>
      <c r="AG31" s="165"/>
      <c r="AH31" s="165"/>
      <c r="AI31" s="165"/>
      <c r="AJ31" s="165"/>
      <c r="AK31" s="165"/>
      <c r="AL31" s="165"/>
      <c r="AM31" s="165"/>
      <c r="AN31" s="165"/>
      <c r="AO31" s="165"/>
      <c r="AQ31" s="152"/>
      <c r="AR31" s="152"/>
      <c r="AS31" s="152"/>
      <c r="AT31" s="152"/>
      <c r="AU31" s="152"/>
      <c r="AV31" s="152"/>
      <c r="AW31" s="152"/>
      <c r="AX31" s="152"/>
      <c r="AY31" s="152"/>
      <c r="AZ31" s="152"/>
      <c r="BB31" s="152"/>
      <c r="BC31" s="152"/>
      <c r="BD31" s="152"/>
      <c r="BE31" s="152"/>
      <c r="BF31" s="152"/>
      <c r="BG31" s="152"/>
      <c r="BH31" s="152"/>
      <c r="BI31" s="152"/>
      <c r="BJ31" s="152"/>
      <c r="BK31" s="152"/>
      <c r="BM31" s="152"/>
      <c r="BN31" s="152">
        <f t="shared" si="64"/>
        <v>0</v>
      </c>
      <c r="BO31" s="152">
        <f t="shared" si="64"/>
        <v>0</v>
      </c>
      <c r="BP31" s="152">
        <f t="shared" si="64"/>
        <v>0</v>
      </c>
      <c r="BQ31" s="152">
        <f t="shared" si="64"/>
        <v>0</v>
      </c>
      <c r="BR31" s="152">
        <f t="shared" si="64"/>
        <v>0</v>
      </c>
      <c r="BS31" s="152">
        <f t="shared" si="64"/>
        <v>0</v>
      </c>
      <c r="BT31" s="152">
        <f t="shared" si="64"/>
        <v>0</v>
      </c>
      <c r="BU31" s="152">
        <f t="shared" si="64"/>
        <v>0</v>
      </c>
      <c r="BV31" s="152">
        <f t="shared" si="64"/>
        <v>0</v>
      </c>
      <c r="BX31" s="160"/>
      <c r="BY31" s="159"/>
      <c r="BZ31" s="159"/>
      <c r="CA31" s="159"/>
      <c r="CB31" s="159"/>
      <c r="CC31" s="159"/>
      <c r="CD31" s="159"/>
      <c r="CE31" s="159"/>
      <c r="CF31" s="159"/>
      <c r="CG31" s="159"/>
      <c r="CI31" s="453"/>
      <c r="CJ31" s="453">
        <f t="shared" si="65"/>
        <v>0</v>
      </c>
      <c r="CK31" s="453">
        <f t="shared" si="65"/>
        <v>0</v>
      </c>
      <c r="CL31" s="453">
        <f t="shared" si="65"/>
        <v>0</v>
      </c>
      <c r="CM31" s="453"/>
      <c r="CN31" s="453"/>
      <c r="CO31" s="453"/>
      <c r="CP31" s="453"/>
      <c r="CQ31" s="453"/>
      <c r="CR31" s="453"/>
      <c r="CT31" s="25"/>
      <c r="CU31" s="168"/>
      <c r="CV31" s="168"/>
      <c r="CW31" s="168"/>
      <c r="CX31" s="168"/>
      <c r="CY31" s="168"/>
      <c r="CZ31" s="168"/>
      <c r="DA31" s="168"/>
      <c r="DB31" s="168"/>
      <c r="DC31" s="168"/>
      <c r="DE31" s="20">
        <f t="shared" si="66"/>
        <v>0</v>
      </c>
      <c r="DF31" s="20">
        <f t="shared" si="67"/>
        <v>0</v>
      </c>
      <c r="DG31" s="20">
        <f t="shared" si="68"/>
        <v>0</v>
      </c>
      <c r="DH31" s="20">
        <f t="shared" si="69"/>
        <v>0</v>
      </c>
      <c r="DI31" s="20">
        <f t="shared" si="70"/>
        <v>0</v>
      </c>
      <c r="DJ31" s="20">
        <f t="shared" si="71"/>
        <v>0</v>
      </c>
      <c r="DK31" s="20">
        <f t="shared" si="72"/>
        <v>0</v>
      </c>
      <c r="DL31" s="20">
        <f t="shared" si="73"/>
        <v>0</v>
      </c>
      <c r="DM31" s="20">
        <f t="shared" si="74"/>
        <v>0</v>
      </c>
      <c r="DN31" s="20">
        <f t="shared" si="74"/>
        <v>0</v>
      </c>
      <c r="DP31" s="20"/>
      <c r="DQ31" s="20"/>
      <c r="DR31" s="20"/>
      <c r="DS31" s="20"/>
      <c r="DT31" s="20"/>
      <c r="DU31" s="20"/>
      <c r="DV31" s="20"/>
      <c r="DW31" s="20"/>
      <c r="DX31" s="20"/>
      <c r="DY31" s="20"/>
      <c r="EA31" s="20">
        <f t="shared" si="59"/>
        <v>0</v>
      </c>
      <c r="EB31" s="20">
        <f t="shared" si="29"/>
        <v>0</v>
      </c>
      <c r="EC31" s="20">
        <f t="shared" si="30"/>
        <v>0</v>
      </c>
      <c r="ED31" s="20">
        <f t="shared" si="31"/>
        <v>0</v>
      </c>
      <c r="EE31" s="20">
        <f t="shared" si="32"/>
        <v>0</v>
      </c>
      <c r="EF31" s="20">
        <f t="shared" si="33"/>
        <v>0</v>
      </c>
      <c r="EG31" s="20">
        <f t="shared" si="34"/>
        <v>0</v>
      </c>
      <c r="EH31" s="20">
        <f t="shared" si="35"/>
        <v>0</v>
      </c>
      <c r="EI31" s="20">
        <f t="shared" si="36"/>
        <v>0</v>
      </c>
      <c r="EJ31" s="20">
        <f t="shared" si="37"/>
        <v>0</v>
      </c>
      <c r="EL31" s="152"/>
      <c r="EM31" s="152"/>
      <c r="EN31" s="152"/>
      <c r="EO31" s="152"/>
      <c r="EP31" s="152"/>
      <c r="EQ31" s="152"/>
      <c r="ER31" s="152"/>
      <c r="ES31" s="152"/>
      <c r="ET31" s="152"/>
      <c r="EU31" s="152"/>
      <c r="EW31" s="154">
        <f t="shared" si="60"/>
        <v>0</v>
      </c>
      <c r="EX31" s="154">
        <f t="shared" si="39"/>
        <v>0</v>
      </c>
      <c r="EY31" s="154">
        <f t="shared" si="40"/>
        <v>0</v>
      </c>
      <c r="EZ31" s="154">
        <f t="shared" si="41"/>
        <v>0</v>
      </c>
      <c r="FA31" s="154">
        <f t="shared" si="42"/>
        <v>0</v>
      </c>
      <c r="FB31" s="154">
        <f t="shared" si="43"/>
        <v>0</v>
      </c>
      <c r="FC31" s="154">
        <f t="shared" si="44"/>
        <v>0</v>
      </c>
      <c r="FD31" s="154">
        <f t="shared" si="45"/>
        <v>0</v>
      </c>
      <c r="FE31" s="154">
        <f t="shared" si="46"/>
        <v>0</v>
      </c>
      <c r="FF31" s="154">
        <f t="shared" si="47"/>
        <v>0</v>
      </c>
      <c r="FH31" s="154"/>
      <c r="FI31" s="154"/>
      <c r="FJ31" s="127"/>
      <c r="FK31" s="127"/>
      <c r="FL31" s="127"/>
      <c r="FM31" s="127"/>
      <c r="FN31" s="127"/>
      <c r="FO31" s="127"/>
      <c r="FP31" s="127"/>
      <c r="FQ31" s="127"/>
      <c r="FS31" s="20">
        <f t="shared" si="61"/>
        <v>0</v>
      </c>
      <c r="FT31" s="20">
        <f t="shared" si="49"/>
        <v>0</v>
      </c>
      <c r="FU31" s="128">
        <f t="shared" si="50"/>
        <v>0</v>
      </c>
      <c r="FV31" s="128">
        <f t="shared" si="51"/>
        <v>0</v>
      </c>
      <c r="FW31" s="128">
        <f t="shared" si="52"/>
        <v>0</v>
      </c>
      <c r="FX31" s="128">
        <f t="shared" si="53"/>
        <v>0</v>
      </c>
      <c r="FY31" s="128">
        <f t="shared" si="54"/>
        <v>0</v>
      </c>
      <c r="FZ31" s="128">
        <f t="shared" si="55"/>
        <v>0</v>
      </c>
      <c r="GA31" s="128">
        <f t="shared" si="56"/>
        <v>0</v>
      </c>
      <c r="GB31" s="128">
        <f t="shared" si="57"/>
        <v>0</v>
      </c>
    </row>
    <row r="32" spans="2:184" ht="13.5">
      <c r="B32" s="19"/>
      <c r="C32" s="19"/>
      <c r="D32" s="19"/>
      <c r="E32" s="151"/>
      <c r="F32" s="170"/>
      <c r="G32" s="151"/>
      <c r="H32" s="19"/>
      <c r="J32" s="152"/>
      <c r="K32" s="152"/>
      <c r="L32" s="152"/>
      <c r="M32" s="152"/>
      <c r="N32" s="152"/>
      <c r="O32" s="152"/>
      <c r="P32" s="152"/>
      <c r="Q32" s="152"/>
      <c r="R32" s="152"/>
      <c r="S32" s="152"/>
      <c r="U32" s="152"/>
      <c r="V32" s="152"/>
      <c r="W32" s="152"/>
      <c r="X32" s="152"/>
      <c r="Y32" s="152"/>
      <c r="Z32" s="152"/>
      <c r="AA32" s="152"/>
      <c r="AB32" s="152"/>
      <c r="AC32" s="152"/>
      <c r="AD32" s="152"/>
      <c r="AF32" s="165"/>
      <c r="AG32" s="165"/>
      <c r="AH32" s="165"/>
      <c r="AI32" s="165"/>
      <c r="AJ32" s="165"/>
      <c r="AK32" s="165"/>
      <c r="AL32" s="165"/>
      <c r="AM32" s="165"/>
      <c r="AN32" s="165"/>
      <c r="AO32" s="165"/>
      <c r="AQ32" s="152"/>
      <c r="AR32" s="152"/>
      <c r="AS32" s="152"/>
      <c r="AT32" s="152"/>
      <c r="AU32" s="152"/>
      <c r="AV32" s="152"/>
      <c r="AW32" s="152"/>
      <c r="AX32" s="152"/>
      <c r="AY32" s="152"/>
      <c r="AZ32" s="152"/>
      <c r="BB32" s="152"/>
      <c r="BC32" s="152"/>
      <c r="BD32" s="152"/>
      <c r="BE32" s="152"/>
      <c r="BF32" s="152"/>
      <c r="BG32" s="152"/>
      <c r="BH32" s="152"/>
      <c r="BI32" s="152"/>
      <c r="BJ32" s="152"/>
      <c r="BK32" s="152"/>
      <c r="BM32" s="152"/>
      <c r="BN32" s="152">
        <f t="shared" si="64"/>
        <v>0</v>
      </c>
      <c r="BO32" s="152">
        <f t="shared" si="64"/>
        <v>0</v>
      </c>
      <c r="BP32" s="152">
        <f t="shared" si="64"/>
        <v>0</v>
      </c>
      <c r="BQ32" s="152">
        <f t="shared" si="64"/>
        <v>0</v>
      </c>
      <c r="BR32" s="152">
        <f t="shared" si="64"/>
        <v>0</v>
      </c>
      <c r="BS32" s="152">
        <f t="shared" si="64"/>
        <v>0</v>
      </c>
      <c r="BT32" s="152">
        <f t="shared" si="64"/>
        <v>0</v>
      </c>
      <c r="BU32" s="152">
        <f t="shared" si="64"/>
        <v>0</v>
      </c>
      <c r="BV32" s="152">
        <f t="shared" si="64"/>
        <v>0</v>
      </c>
      <c r="BX32" s="160"/>
      <c r="BY32" s="159"/>
      <c r="BZ32" s="159"/>
      <c r="CA32" s="159"/>
      <c r="CB32" s="159"/>
      <c r="CC32" s="159"/>
      <c r="CD32" s="159"/>
      <c r="CE32" s="159"/>
      <c r="CF32" s="159"/>
      <c r="CG32" s="159"/>
      <c r="CI32" s="453"/>
      <c r="CJ32" s="453">
        <f t="shared" si="65"/>
        <v>0</v>
      </c>
      <c r="CK32" s="453">
        <f t="shared" si="65"/>
        <v>0</v>
      </c>
      <c r="CL32" s="453">
        <f t="shared" si="65"/>
        <v>0</v>
      </c>
      <c r="CM32" s="453"/>
      <c r="CN32" s="453"/>
      <c r="CO32" s="453"/>
      <c r="CP32" s="453"/>
      <c r="CQ32" s="453"/>
      <c r="CR32" s="453"/>
      <c r="CT32" s="25"/>
      <c r="CU32" s="168"/>
      <c r="CV32" s="168"/>
      <c r="CW32" s="168"/>
      <c r="CX32" s="168"/>
      <c r="CY32" s="168"/>
      <c r="CZ32" s="168"/>
      <c r="DA32" s="168"/>
      <c r="DB32" s="168"/>
      <c r="DC32" s="168"/>
      <c r="DE32" s="20">
        <f t="shared" si="66"/>
        <v>0</v>
      </c>
      <c r="DF32" s="20">
        <f t="shared" si="67"/>
        <v>0</v>
      </c>
      <c r="DG32" s="20">
        <f t="shared" si="68"/>
        <v>0</v>
      </c>
      <c r="DH32" s="20">
        <f t="shared" si="69"/>
        <v>0</v>
      </c>
      <c r="DI32" s="20">
        <f t="shared" si="70"/>
        <v>0</v>
      </c>
      <c r="DJ32" s="20">
        <f t="shared" si="71"/>
        <v>0</v>
      </c>
      <c r="DK32" s="20">
        <f t="shared" si="72"/>
        <v>0</v>
      </c>
      <c r="DL32" s="20">
        <f t="shared" si="73"/>
        <v>0</v>
      </c>
      <c r="DM32" s="20">
        <f t="shared" si="74"/>
        <v>0</v>
      </c>
      <c r="DN32" s="20">
        <f t="shared" si="74"/>
        <v>0</v>
      </c>
      <c r="DP32" s="20"/>
      <c r="DQ32" s="20"/>
      <c r="DR32" s="20"/>
      <c r="DS32" s="20"/>
      <c r="DT32" s="20"/>
      <c r="DU32" s="20"/>
      <c r="DV32" s="20"/>
      <c r="DW32" s="20"/>
      <c r="DX32" s="20"/>
      <c r="DY32" s="20"/>
      <c r="EA32" s="20">
        <f t="shared" si="59"/>
        <v>0</v>
      </c>
      <c r="EB32" s="20">
        <f t="shared" si="29"/>
        <v>0</v>
      </c>
      <c r="EC32" s="20">
        <f t="shared" si="30"/>
        <v>0</v>
      </c>
      <c r="ED32" s="20">
        <f t="shared" si="31"/>
        <v>0</v>
      </c>
      <c r="EE32" s="20">
        <f t="shared" si="32"/>
        <v>0</v>
      </c>
      <c r="EF32" s="20">
        <f t="shared" si="33"/>
        <v>0</v>
      </c>
      <c r="EG32" s="20">
        <f t="shared" si="34"/>
        <v>0</v>
      </c>
      <c r="EH32" s="20">
        <f t="shared" si="35"/>
        <v>0</v>
      </c>
      <c r="EI32" s="20">
        <f t="shared" si="36"/>
        <v>0</v>
      </c>
      <c r="EJ32" s="20">
        <f t="shared" si="37"/>
        <v>0</v>
      </c>
      <c r="EL32" s="152"/>
      <c r="EM32" s="152"/>
      <c r="EN32" s="152"/>
      <c r="EO32" s="152"/>
      <c r="EP32" s="152"/>
      <c r="EQ32" s="152"/>
      <c r="ER32" s="152"/>
      <c r="ES32" s="152"/>
      <c r="ET32" s="152"/>
      <c r="EU32" s="152"/>
      <c r="EW32" s="154">
        <f t="shared" si="60"/>
        <v>0</v>
      </c>
      <c r="EX32" s="154">
        <f t="shared" si="39"/>
        <v>0</v>
      </c>
      <c r="EY32" s="154">
        <f t="shared" si="40"/>
        <v>0</v>
      </c>
      <c r="EZ32" s="154">
        <f t="shared" si="41"/>
        <v>0</v>
      </c>
      <c r="FA32" s="154">
        <f t="shared" si="42"/>
        <v>0</v>
      </c>
      <c r="FB32" s="154">
        <f t="shared" si="43"/>
        <v>0</v>
      </c>
      <c r="FC32" s="154">
        <f t="shared" si="44"/>
        <v>0</v>
      </c>
      <c r="FD32" s="154">
        <f t="shared" si="45"/>
        <v>0</v>
      </c>
      <c r="FE32" s="154">
        <f t="shared" si="46"/>
        <v>0</v>
      </c>
      <c r="FF32" s="154">
        <f t="shared" si="47"/>
        <v>0</v>
      </c>
      <c r="FH32" s="154"/>
      <c r="FI32" s="154"/>
      <c r="FJ32" s="127"/>
      <c r="FK32" s="127"/>
      <c r="FL32" s="127"/>
      <c r="FM32" s="127"/>
      <c r="FN32" s="127"/>
      <c r="FO32" s="127"/>
      <c r="FP32" s="127"/>
      <c r="FQ32" s="127"/>
      <c r="FS32" s="20">
        <f t="shared" si="61"/>
        <v>0</v>
      </c>
      <c r="FT32" s="20">
        <f t="shared" si="49"/>
        <v>0</v>
      </c>
      <c r="FU32" s="128">
        <f t="shared" si="50"/>
        <v>0</v>
      </c>
      <c r="FV32" s="128">
        <f t="shared" si="51"/>
        <v>0</v>
      </c>
      <c r="FW32" s="128">
        <f t="shared" si="52"/>
        <v>0</v>
      </c>
      <c r="FX32" s="128">
        <f t="shared" si="53"/>
        <v>0</v>
      </c>
      <c r="FY32" s="128">
        <f t="shared" si="54"/>
        <v>0</v>
      </c>
      <c r="FZ32" s="128">
        <f t="shared" si="55"/>
        <v>0</v>
      </c>
      <c r="GA32" s="128">
        <f t="shared" si="56"/>
        <v>0</v>
      </c>
      <c r="GB32" s="128">
        <f t="shared" si="57"/>
        <v>0</v>
      </c>
    </row>
    <row r="33" spans="2:184" ht="13.5">
      <c r="B33" s="19"/>
      <c r="C33" s="19"/>
      <c r="D33" s="19"/>
      <c r="E33" s="151"/>
      <c r="F33" s="170"/>
      <c r="G33" s="151"/>
      <c r="H33" s="19"/>
      <c r="J33" s="152"/>
      <c r="K33" s="152"/>
      <c r="L33" s="152"/>
      <c r="M33" s="152"/>
      <c r="N33" s="152"/>
      <c r="O33" s="152"/>
      <c r="P33" s="152"/>
      <c r="Q33" s="152"/>
      <c r="R33" s="152"/>
      <c r="S33" s="152"/>
      <c r="U33" s="152"/>
      <c r="V33" s="152"/>
      <c r="W33" s="152"/>
      <c r="X33" s="152"/>
      <c r="Y33" s="152"/>
      <c r="Z33" s="152"/>
      <c r="AA33" s="152"/>
      <c r="AB33" s="152"/>
      <c r="AC33" s="152"/>
      <c r="AD33" s="152"/>
      <c r="AF33" s="165"/>
      <c r="AG33" s="165"/>
      <c r="AH33" s="165"/>
      <c r="AI33" s="165"/>
      <c r="AJ33" s="165"/>
      <c r="AK33" s="165"/>
      <c r="AL33" s="165"/>
      <c r="AM33" s="165"/>
      <c r="AN33" s="165"/>
      <c r="AO33" s="165"/>
      <c r="AQ33" s="152"/>
      <c r="AR33" s="152"/>
      <c r="AS33" s="152"/>
      <c r="AT33" s="152"/>
      <c r="AU33" s="152"/>
      <c r="AV33" s="152"/>
      <c r="AW33" s="152"/>
      <c r="AX33" s="152"/>
      <c r="AY33" s="152"/>
      <c r="AZ33" s="152"/>
      <c r="BB33" s="152"/>
      <c r="BC33" s="152"/>
      <c r="BD33" s="152"/>
      <c r="BE33" s="152"/>
      <c r="BF33" s="152"/>
      <c r="BG33" s="152"/>
      <c r="BH33" s="152"/>
      <c r="BI33" s="152"/>
      <c r="BJ33" s="152"/>
      <c r="BK33" s="152"/>
      <c r="BM33" s="152"/>
      <c r="BN33" s="152">
        <f t="shared" ref="BN33:BN43" si="75">(K33*V33*AG33*AR33*BC33)/1000</f>
        <v>0</v>
      </c>
      <c r="BO33" s="152">
        <f t="shared" ref="BO33:BO43" si="76">(L33*W33*AH33*AS33*BD33)/1000</f>
        <v>0</v>
      </c>
      <c r="BP33" s="152">
        <f t="shared" ref="BP33:BP43" si="77">(M33*X33*AI33*AT33*BE33)/1000</f>
        <v>0</v>
      </c>
      <c r="BQ33" s="152">
        <f t="shared" ref="BQ33:BQ43" si="78">(N33*Y33*AJ33*AU33*BF33)/1000</f>
        <v>0</v>
      </c>
      <c r="BR33" s="152"/>
      <c r="BS33" s="152"/>
      <c r="BT33" s="152"/>
      <c r="BU33" s="152"/>
      <c r="BV33" s="152"/>
      <c r="BX33" s="160"/>
      <c r="BY33" s="159"/>
      <c r="BZ33" s="159"/>
      <c r="CA33" s="159"/>
      <c r="CB33" s="159"/>
      <c r="CC33" s="159"/>
      <c r="CD33" s="159"/>
      <c r="CE33" s="159"/>
      <c r="CF33" s="159"/>
      <c r="CG33" s="159"/>
      <c r="CI33" s="453"/>
      <c r="CJ33" s="453">
        <f t="shared" si="65"/>
        <v>0</v>
      </c>
      <c r="CK33" s="453">
        <f t="shared" si="65"/>
        <v>0</v>
      </c>
      <c r="CL33" s="453">
        <f t="shared" si="65"/>
        <v>0</v>
      </c>
      <c r="CM33" s="453"/>
      <c r="CN33" s="453"/>
      <c r="CO33" s="453"/>
      <c r="CP33" s="453"/>
      <c r="CQ33" s="453"/>
      <c r="CR33" s="453"/>
      <c r="CT33" s="25"/>
      <c r="CU33" s="168"/>
      <c r="CV33" s="168"/>
      <c r="CW33" s="168"/>
      <c r="CX33" s="168"/>
      <c r="CY33" s="168"/>
      <c r="CZ33" s="168"/>
      <c r="DA33" s="168"/>
      <c r="DB33" s="168"/>
      <c r="DC33" s="168"/>
      <c r="DE33" s="20">
        <f t="shared" si="66"/>
        <v>0</v>
      </c>
      <c r="DF33" s="20">
        <f t="shared" si="67"/>
        <v>0</v>
      </c>
      <c r="DG33" s="20">
        <f t="shared" si="68"/>
        <v>0</v>
      </c>
      <c r="DH33" s="20">
        <f t="shared" si="69"/>
        <v>0</v>
      </c>
      <c r="DI33" s="20">
        <f t="shared" si="70"/>
        <v>0</v>
      </c>
      <c r="DJ33" s="20">
        <f t="shared" si="71"/>
        <v>0</v>
      </c>
      <c r="DK33" s="20">
        <f t="shared" si="72"/>
        <v>0</v>
      </c>
      <c r="DL33" s="20">
        <f t="shared" si="73"/>
        <v>0</v>
      </c>
      <c r="DM33" s="20">
        <f t="shared" si="74"/>
        <v>0</v>
      </c>
      <c r="DN33" s="20">
        <f t="shared" si="74"/>
        <v>0</v>
      </c>
      <c r="DP33" s="20"/>
      <c r="DQ33" s="20"/>
      <c r="DR33" s="20"/>
      <c r="DS33" s="20"/>
      <c r="DT33" s="20"/>
      <c r="DU33" s="20"/>
      <c r="DV33" s="20"/>
      <c r="DW33" s="20"/>
      <c r="DX33" s="20"/>
      <c r="DY33" s="20"/>
      <c r="EA33" s="20">
        <f t="shared" si="59"/>
        <v>0</v>
      </c>
      <c r="EB33" s="20">
        <f t="shared" si="29"/>
        <v>0</v>
      </c>
      <c r="EC33" s="20">
        <f t="shared" si="30"/>
        <v>0</v>
      </c>
      <c r="ED33" s="20">
        <f t="shared" si="31"/>
        <v>0</v>
      </c>
      <c r="EE33" s="20">
        <f t="shared" si="32"/>
        <v>0</v>
      </c>
      <c r="EF33" s="20">
        <f t="shared" si="33"/>
        <v>0</v>
      </c>
      <c r="EG33" s="20">
        <f t="shared" si="34"/>
        <v>0</v>
      </c>
      <c r="EH33" s="20">
        <f t="shared" si="35"/>
        <v>0</v>
      </c>
      <c r="EI33" s="20">
        <f t="shared" si="36"/>
        <v>0</v>
      </c>
      <c r="EJ33" s="20">
        <f t="shared" si="37"/>
        <v>0</v>
      </c>
      <c r="EL33" s="152"/>
      <c r="EM33" s="152"/>
      <c r="EN33" s="152"/>
      <c r="EO33" s="152"/>
      <c r="EP33" s="152"/>
      <c r="EQ33" s="152"/>
      <c r="ER33" s="152"/>
      <c r="ES33" s="152"/>
      <c r="ET33" s="152"/>
      <c r="EU33" s="152"/>
      <c r="EW33" s="154">
        <f t="shared" si="60"/>
        <v>0</v>
      </c>
      <c r="EX33" s="154">
        <f t="shared" si="39"/>
        <v>0</v>
      </c>
      <c r="EY33" s="154">
        <f t="shared" si="40"/>
        <v>0</v>
      </c>
      <c r="EZ33" s="154">
        <f t="shared" si="41"/>
        <v>0</v>
      </c>
      <c r="FA33" s="154">
        <f t="shared" si="42"/>
        <v>0</v>
      </c>
      <c r="FB33" s="154">
        <f t="shared" si="43"/>
        <v>0</v>
      </c>
      <c r="FC33" s="154">
        <f t="shared" si="44"/>
        <v>0</v>
      </c>
      <c r="FD33" s="154">
        <f t="shared" si="45"/>
        <v>0</v>
      </c>
      <c r="FE33" s="154">
        <f t="shared" si="46"/>
        <v>0</v>
      </c>
      <c r="FF33" s="154">
        <f t="shared" si="47"/>
        <v>0</v>
      </c>
      <c r="FH33" s="154"/>
      <c r="FI33" s="154"/>
      <c r="FJ33" s="127"/>
      <c r="FK33" s="127"/>
      <c r="FL33" s="127"/>
      <c r="FM33" s="127"/>
      <c r="FN33" s="127"/>
      <c r="FO33" s="127"/>
      <c r="FP33" s="127"/>
      <c r="FQ33" s="127"/>
      <c r="FS33" s="20">
        <f t="shared" si="61"/>
        <v>0</v>
      </c>
      <c r="FT33" s="20">
        <f t="shared" si="49"/>
        <v>0</v>
      </c>
      <c r="FU33" s="128">
        <f t="shared" si="50"/>
        <v>0</v>
      </c>
      <c r="FV33" s="128">
        <f t="shared" si="51"/>
        <v>0</v>
      </c>
      <c r="FW33" s="128">
        <f t="shared" si="52"/>
        <v>0</v>
      </c>
      <c r="FX33" s="128">
        <f t="shared" si="53"/>
        <v>0</v>
      </c>
      <c r="FY33" s="128">
        <f t="shared" si="54"/>
        <v>0</v>
      </c>
      <c r="FZ33" s="128">
        <f t="shared" si="55"/>
        <v>0</v>
      </c>
      <c r="GA33" s="128">
        <f t="shared" si="56"/>
        <v>0</v>
      </c>
      <c r="GB33" s="128">
        <f t="shared" si="57"/>
        <v>0</v>
      </c>
    </row>
    <row r="34" spans="2:184" ht="13.5">
      <c r="B34" s="19"/>
      <c r="C34" s="19"/>
      <c r="D34" s="19"/>
      <c r="E34" s="151"/>
      <c r="F34" s="170"/>
      <c r="G34" s="151"/>
      <c r="H34" s="19"/>
      <c r="J34" s="152"/>
      <c r="K34" s="152"/>
      <c r="L34" s="152"/>
      <c r="M34" s="152"/>
      <c r="N34" s="152"/>
      <c r="O34" s="152"/>
      <c r="P34" s="152"/>
      <c r="Q34" s="152"/>
      <c r="R34" s="152"/>
      <c r="S34" s="152"/>
      <c r="U34" s="152"/>
      <c r="V34" s="152"/>
      <c r="W34" s="152"/>
      <c r="X34" s="152"/>
      <c r="Y34" s="152"/>
      <c r="Z34" s="152"/>
      <c r="AA34" s="152"/>
      <c r="AB34" s="152"/>
      <c r="AC34" s="152"/>
      <c r="AD34" s="152"/>
      <c r="AF34" s="165"/>
      <c r="AG34" s="165"/>
      <c r="AH34" s="165"/>
      <c r="AI34" s="165"/>
      <c r="AJ34" s="165"/>
      <c r="AK34" s="165"/>
      <c r="AL34" s="165"/>
      <c r="AM34" s="165"/>
      <c r="AN34" s="165"/>
      <c r="AO34" s="165"/>
      <c r="AQ34" s="152"/>
      <c r="AR34" s="152"/>
      <c r="AS34" s="152"/>
      <c r="AT34" s="152"/>
      <c r="AU34" s="152"/>
      <c r="AV34" s="152"/>
      <c r="AW34" s="152"/>
      <c r="AX34" s="152"/>
      <c r="AY34" s="152"/>
      <c r="AZ34" s="152"/>
      <c r="BB34" s="152"/>
      <c r="BC34" s="152"/>
      <c r="BD34" s="152"/>
      <c r="BE34" s="152"/>
      <c r="BF34" s="152"/>
      <c r="BG34" s="152"/>
      <c r="BH34" s="152"/>
      <c r="BI34" s="152"/>
      <c r="BJ34" s="152"/>
      <c r="BK34" s="152"/>
      <c r="BM34" s="152"/>
      <c r="BN34" s="152">
        <f t="shared" si="75"/>
        <v>0</v>
      </c>
      <c r="BO34" s="152">
        <f t="shared" si="76"/>
        <v>0</v>
      </c>
      <c r="BP34" s="152">
        <f t="shared" si="77"/>
        <v>0</v>
      </c>
      <c r="BQ34" s="152">
        <f t="shared" si="78"/>
        <v>0</v>
      </c>
      <c r="BR34" s="152"/>
      <c r="BS34" s="152"/>
      <c r="BT34" s="152"/>
      <c r="BU34" s="152"/>
      <c r="BV34" s="152"/>
      <c r="BX34" s="160"/>
      <c r="BY34" s="159"/>
      <c r="BZ34" s="159"/>
      <c r="CA34" s="159"/>
      <c r="CB34" s="159"/>
      <c r="CC34" s="159"/>
      <c r="CD34" s="159"/>
      <c r="CE34" s="159"/>
      <c r="CF34" s="159"/>
      <c r="CG34" s="159"/>
      <c r="CI34" s="453">
        <f t="shared" ref="CI34:CL43" si="79">+BX34*BM34</f>
        <v>0</v>
      </c>
      <c r="CJ34" s="453">
        <f t="shared" si="65"/>
        <v>0</v>
      </c>
      <c r="CK34" s="453">
        <f t="shared" si="65"/>
        <v>0</v>
      </c>
      <c r="CL34" s="453">
        <f t="shared" si="65"/>
        <v>0</v>
      </c>
      <c r="CM34" s="453"/>
      <c r="CN34" s="453"/>
      <c r="CO34" s="453"/>
      <c r="CP34" s="453"/>
      <c r="CQ34" s="453"/>
      <c r="CR34" s="453"/>
      <c r="CT34" s="25"/>
      <c r="CU34" s="168"/>
      <c r="CV34" s="168"/>
      <c r="CW34" s="168"/>
      <c r="CX34" s="168"/>
      <c r="CY34" s="168"/>
      <c r="CZ34" s="168"/>
      <c r="DA34" s="168"/>
      <c r="DB34" s="168"/>
      <c r="DC34" s="168"/>
      <c r="DE34" s="20">
        <f t="shared" si="66"/>
        <v>0</v>
      </c>
      <c r="DF34" s="20">
        <f t="shared" si="67"/>
        <v>0</v>
      </c>
      <c r="DG34" s="20">
        <f t="shared" si="68"/>
        <v>0</v>
      </c>
      <c r="DH34" s="20">
        <f t="shared" si="69"/>
        <v>0</v>
      </c>
      <c r="DI34" s="20">
        <f t="shared" si="70"/>
        <v>0</v>
      </c>
      <c r="DJ34" s="20">
        <f t="shared" si="71"/>
        <v>0</v>
      </c>
      <c r="DK34" s="20">
        <f t="shared" si="72"/>
        <v>0</v>
      </c>
      <c r="DL34" s="20">
        <f t="shared" si="73"/>
        <v>0</v>
      </c>
      <c r="DM34" s="20">
        <f t="shared" si="74"/>
        <v>0</v>
      </c>
      <c r="DN34" s="20">
        <f t="shared" si="74"/>
        <v>0</v>
      </c>
      <c r="DP34" s="20"/>
      <c r="DQ34" s="20"/>
      <c r="DR34" s="20"/>
      <c r="DS34" s="20"/>
      <c r="DT34" s="20"/>
      <c r="DU34" s="20"/>
      <c r="DV34" s="20"/>
      <c r="DW34" s="20"/>
      <c r="DX34" s="20"/>
      <c r="DY34" s="20"/>
      <c r="EA34" s="20">
        <f t="shared" si="59"/>
        <v>0</v>
      </c>
      <c r="EB34" s="20">
        <f t="shared" si="29"/>
        <v>0</v>
      </c>
      <c r="EC34" s="20">
        <f t="shared" si="30"/>
        <v>0</v>
      </c>
      <c r="ED34" s="20">
        <f t="shared" si="31"/>
        <v>0</v>
      </c>
      <c r="EE34" s="20">
        <f t="shared" si="32"/>
        <v>0</v>
      </c>
      <c r="EF34" s="20">
        <f t="shared" si="33"/>
        <v>0</v>
      </c>
      <c r="EG34" s="20">
        <f t="shared" si="34"/>
        <v>0</v>
      </c>
      <c r="EH34" s="20">
        <f t="shared" si="35"/>
        <v>0</v>
      </c>
      <c r="EI34" s="20">
        <f t="shared" si="36"/>
        <v>0</v>
      </c>
      <c r="EJ34" s="20">
        <f t="shared" si="37"/>
        <v>0</v>
      </c>
      <c r="EL34" s="152"/>
      <c r="EM34" s="152"/>
      <c r="EN34" s="152"/>
      <c r="EO34" s="152"/>
      <c r="EP34" s="152"/>
      <c r="EQ34" s="152"/>
      <c r="ER34" s="152"/>
      <c r="ES34" s="152"/>
      <c r="ET34" s="152"/>
      <c r="EU34" s="152"/>
      <c r="EW34" s="154">
        <f t="shared" si="60"/>
        <v>0</v>
      </c>
      <c r="EX34" s="154">
        <f t="shared" si="39"/>
        <v>0</v>
      </c>
      <c r="EY34" s="154">
        <f t="shared" si="40"/>
        <v>0</v>
      </c>
      <c r="EZ34" s="154">
        <f t="shared" si="41"/>
        <v>0</v>
      </c>
      <c r="FA34" s="154">
        <f t="shared" si="42"/>
        <v>0</v>
      </c>
      <c r="FB34" s="154">
        <f t="shared" si="43"/>
        <v>0</v>
      </c>
      <c r="FC34" s="154">
        <f t="shared" si="44"/>
        <v>0</v>
      </c>
      <c r="FD34" s="154">
        <f t="shared" si="45"/>
        <v>0</v>
      </c>
      <c r="FE34" s="154">
        <f t="shared" si="46"/>
        <v>0</v>
      </c>
      <c r="FF34" s="154">
        <f t="shared" si="47"/>
        <v>0</v>
      </c>
      <c r="FH34" s="154"/>
      <c r="FI34" s="154"/>
      <c r="FJ34" s="127"/>
      <c r="FK34" s="127"/>
      <c r="FL34" s="127"/>
      <c r="FM34" s="127"/>
      <c r="FN34" s="127"/>
      <c r="FO34" s="127"/>
      <c r="FP34" s="127"/>
      <c r="FQ34" s="127"/>
      <c r="FS34" s="20">
        <f t="shared" si="61"/>
        <v>0</v>
      </c>
      <c r="FT34" s="20">
        <f t="shared" si="49"/>
        <v>0</v>
      </c>
      <c r="FU34" s="128">
        <f t="shared" si="50"/>
        <v>0</v>
      </c>
      <c r="FV34" s="128">
        <f t="shared" si="51"/>
        <v>0</v>
      </c>
      <c r="FW34" s="128">
        <f t="shared" si="52"/>
        <v>0</v>
      </c>
      <c r="FX34" s="128">
        <f t="shared" si="53"/>
        <v>0</v>
      </c>
      <c r="FY34" s="128">
        <f t="shared" si="54"/>
        <v>0</v>
      </c>
      <c r="FZ34" s="128">
        <f t="shared" si="55"/>
        <v>0</v>
      </c>
      <c r="GA34" s="128">
        <f t="shared" si="56"/>
        <v>0</v>
      </c>
      <c r="GB34" s="128">
        <f t="shared" si="57"/>
        <v>0</v>
      </c>
    </row>
    <row r="35" spans="2:184" ht="13.5">
      <c r="B35" s="19"/>
      <c r="C35" s="19"/>
      <c r="D35" s="19"/>
      <c r="E35" s="151"/>
      <c r="F35" s="170"/>
      <c r="G35" s="151"/>
      <c r="H35" s="19"/>
      <c r="J35" s="152"/>
      <c r="K35" s="152"/>
      <c r="L35" s="152"/>
      <c r="M35" s="152"/>
      <c r="N35" s="152"/>
      <c r="O35" s="152"/>
      <c r="P35" s="152"/>
      <c r="Q35" s="152"/>
      <c r="R35" s="152"/>
      <c r="S35" s="152"/>
      <c r="U35" s="152"/>
      <c r="V35" s="152"/>
      <c r="W35" s="152"/>
      <c r="X35" s="152"/>
      <c r="Y35" s="152"/>
      <c r="Z35" s="152"/>
      <c r="AA35" s="152"/>
      <c r="AB35" s="152"/>
      <c r="AC35" s="152"/>
      <c r="AD35" s="152"/>
      <c r="AF35" s="165"/>
      <c r="AG35" s="165"/>
      <c r="AH35" s="165"/>
      <c r="AI35" s="165"/>
      <c r="AJ35" s="165"/>
      <c r="AK35" s="165"/>
      <c r="AL35" s="165"/>
      <c r="AM35" s="165"/>
      <c r="AN35" s="165"/>
      <c r="AO35" s="165"/>
      <c r="AQ35" s="152"/>
      <c r="AR35" s="152"/>
      <c r="AS35" s="152"/>
      <c r="AT35" s="152"/>
      <c r="AU35" s="152"/>
      <c r="AV35" s="152"/>
      <c r="AW35" s="152"/>
      <c r="AX35" s="152"/>
      <c r="AY35" s="152"/>
      <c r="AZ35" s="152"/>
      <c r="BB35" s="152"/>
      <c r="BC35" s="152"/>
      <c r="BD35" s="152"/>
      <c r="BE35" s="152"/>
      <c r="BF35" s="152"/>
      <c r="BG35" s="152"/>
      <c r="BH35" s="152"/>
      <c r="BI35" s="152"/>
      <c r="BJ35" s="152"/>
      <c r="BK35" s="152"/>
      <c r="BM35" s="152"/>
      <c r="BN35" s="152">
        <f t="shared" si="75"/>
        <v>0</v>
      </c>
      <c r="BO35" s="152">
        <f t="shared" si="76"/>
        <v>0</v>
      </c>
      <c r="BP35" s="152">
        <f t="shared" si="77"/>
        <v>0</v>
      </c>
      <c r="BQ35" s="152">
        <f t="shared" si="78"/>
        <v>0</v>
      </c>
      <c r="BR35" s="152"/>
      <c r="BS35" s="152"/>
      <c r="BT35" s="152"/>
      <c r="BU35" s="152"/>
      <c r="BV35" s="152"/>
      <c r="BX35" s="160"/>
      <c r="BY35" s="159"/>
      <c r="BZ35" s="159"/>
      <c r="CA35" s="159"/>
      <c r="CB35" s="159"/>
      <c r="CC35" s="159"/>
      <c r="CD35" s="159"/>
      <c r="CE35" s="159"/>
      <c r="CF35" s="159"/>
      <c r="CG35" s="159"/>
      <c r="CI35" s="453">
        <f t="shared" si="79"/>
        <v>0</v>
      </c>
      <c r="CJ35" s="453">
        <f t="shared" si="65"/>
        <v>0</v>
      </c>
      <c r="CK35" s="453">
        <f t="shared" si="65"/>
        <v>0</v>
      </c>
      <c r="CL35" s="453">
        <f t="shared" si="65"/>
        <v>0</v>
      </c>
      <c r="CM35" s="453"/>
      <c r="CN35" s="453"/>
      <c r="CO35" s="453"/>
      <c r="CP35" s="453"/>
      <c r="CQ35" s="453"/>
      <c r="CR35" s="453"/>
      <c r="CT35" s="25"/>
      <c r="CU35" s="168"/>
      <c r="CV35" s="168"/>
      <c r="CW35" s="168"/>
      <c r="CX35" s="168"/>
      <c r="CY35" s="168"/>
      <c r="CZ35" s="168"/>
      <c r="DA35" s="168"/>
      <c r="DB35" s="168"/>
      <c r="DC35" s="168"/>
      <c r="DE35" s="20">
        <f t="shared" si="66"/>
        <v>0</v>
      </c>
      <c r="DF35" s="20">
        <f t="shared" si="67"/>
        <v>0</v>
      </c>
      <c r="DG35" s="20">
        <f t="shared" si="68"/>
        <v>0</v>
      </c>
      <c r="DH35" s="20">
        <f t="shared" si="69"/>
        <v>0</v>
      </c>
      <c r="DI35" s="20">
        <f t="shared" si="70"/>
        <v>0</v>
      </c>
      <c r="DJ35" s="20">
        <f t="shared" si="71"/>
        <v>0</v>
      </c>
      <c r="DK35" s="20">
        <f t="shared" si="72"/>
        <v>0</v>
      </c>
      <c r="DL35" s="20">
        <f t="shared" si="73"/>
        <v>0</v>
      </c>
      <c r="DM35" s="20">
        <f t="shared" si="74"/>
        <v>0</v>
      </c>
      <c r="DN35" s="20">
        <f t="shared" si="74"/>
        <v>0</v>
      </c>
      <c r="DP35" s="20"/>
      <c r="DQ35" s="20"/>
      <c r="DR35" s="20"/>
      <c r="DS35" s="20"/>
      <c r="DT35" s="20"/>
      <c r="DU35" s="20"/>
      <c r="DV35" s="20"/>
      <c r="DW35" s="20"/>
      <c r="DX35" s="20"/>
      <c r="DY35" s="20"/>
      <c r="EA35" s="20">
        <f t="shared" si="59"/>
        <v>0</v>
      </c>
      <c r="EB35" s="20">
        <f t="shared" si="29"/>
        <v>0</v>
      </c>
      <c r="EC35" s="20">
        <f t="shared" si="30"/>
        <v>0</v>
      </c>
      <c r="ED35" s="20">
        <f t="shared" si="31"/>
        <v>0</v>
      </c>
      <c r="EE35" s="20">
        <f t="shared" si="32"/>
        <v>0</v>
      </c>
      <c r="EF35" s="20">
        <f t="shared" si="33"/>
        <v>0</v>
      </c>
      <c r="EG35" s="20">
        <f t="shared" si="34"/>
        <v>0</v>
      </c>
      <c r="EH35" s="20">
        <f t="shared" si="35"/>
        <v>0</v>
      </c>
      <c r="EI35" s="20">
        <f t="shared" si="36"/>
        <v>0</v>
      </c>
      <c r="EJ35" s="20">
        <f t="shared" si="37"/>
        <v>0</v>
      </c>
      <c r="EL35" s="152"/>
      <c r="EM35" s="152"/>
      <c r="EN35" s="152"/>
      <c r="EO35" s="152"/>
      <c r="EP35" s="152"/>
      <c r="EQ35" s="152"/>
      <c r="ER35" s="152"/>
      <c r="ES35" s="152"/>
      <c r="ET35" s="152"/>
      <c r="EU35" s="152"/>
      <c r="EW35" s="154">
        <f t="shared" si="60"/>
        <v>0</v>
      </c>
      <c r="EX35" s="154">
        <f t="shared" si="39"/>
        <v>0</v>
      </c>
      <c r="EY35" s="154">
        <f t="shared" si="40"/>
        <v>0</v>
      </c>
      <c r="EZ35" s="154">
        <f t="shared" si="41"/>
        <v>0</v>
      </c>
      <c r="FA35" s="154">
        <f t="shared" si="42"/>
        <v>0</v>
      </c>
      <c r="FB35" s="154">
        <f t="shared" si="43"/>
        <v>0</v>
      </c>
      <c r="FC35" s="154">
        <f t="shared" si="44"/>
        <v>0</v>
      </c>
      <c r="FD35" s="154">
        <f t="shared" si="45"/>
        <v>0</v>
      </c>
      <c r="FE35" s="154">
        <f t="shared" si="46"/>
        <v>0</v>
      </c>
      <c r="FF35" s="154">
        <f t="shared" si="47"/>
        <v>0</v>
      </c>
      <c r="FH35" s="154"/>
      <c r="FI35" s="154"/>
      <c r="FJ35" s="127"/>
      <c r="FK35" s="127"/>
      <c r="FL35" s="127"/>
      <c r="FM35" s="127"/>
      <c r="FN35" s="127"/>
      <c r="FO35" s="127"/>
      <c r="FP35" s="127"/>
      <c r="FQ35" s="127"/>
      <c r="FS35" s="20">
        <f t="shared" si="61"/>
        <v>0</v>
      </c>
      <c r="FT35" s="20">
        <f t="shared" si="49"/>
        <v>0</v>
      </c>
      <c r="FU35" s="128">
        <f t="shared" si="50"/>
        <v>0</v>
      </c>
      <c r="FV35" s="128">
        <f t="shared" si="51"/>
        <v>0</v>
      </c>
      <c r="FW35" s="128">
        <f t="shared" si="52"/>
        <v>0</v>
      </c>
      <c r="FX35" s="128">
        <f t="shared" si="53"/>
        <v>0</v>
      </c>
      <c r="FY35" s="128">
        <f t="shared" si="54"/>
        <v>0</v>
      </c>
      <c r="FZ35" s="128">
        <f t="shared" si="55"/>
        <v>0</v>
      </c>
      <c r="GA35" s="128">
        <f t="shared" si="56"/>
        <v>0</v>
      </c>
      <c r="GB35" s="128">
        <f t="shared" si="57"/>
        <v>0</v>
      </c>
    </row>
    <row r="36" spans="2:184" ht="13.5">
      <c r="B36" s="19"/>
      <c r="C36" s="19"/>
      <c r="D36" s="19"/>
      <c r="E36" s="151"/>
      <c r="F36" s="170"/>
      <c r="G36" s="151"/>
      <c r="H36" s="19"/>
      <c r="J36" s="152"/>
      <c r="K36" s="152"/>
      <c r="L36" s="152"/>
      <c r="M36" s="152"/>
      <c r="N36" s="152"/>
      <c r="O36" s="152"/>
      <c r="P36" s="152"/>
      <c r="Q36" s="152"/>
      <c r="R36" s="152"/>
      <c r="S36" s="152"/>
      <c r="U36" s="152"/>
      <c r="V36" s="152"/>
      <c r="W36" s="152"/>
      <c r="X36" s="152"/>
      <c r="Y36" s="152"/>
      <c r="Z36" s="152"/>
      <c r="AA36" s="152"/>
      <c r="AB36" s="152"/>
      <c r="AC36" s="152"/>
      <c r="AD36" s="152"/>
      <c r="AF36" s="165"/>
      <c r="AG36" s="165"/>
      <c r="AH36" s="165"/>
      <c r="AI36" s="165"/>
      <c r="AJ36" s="165"/>
      <c r="AK36" s="165"/>
      <c r="AL36" s="165"/>
      <c r="AM36" s="165"/>
      <c r="AN36" s="165"/>
      <c r="AO36" s="165"/>
      <c r="AQ36" s="152"/>
      <c r="AR36" s="152"/>
      <c r="AS36" s="152"/>
      <c r="AT36" s="152"/>
      <c r="AU36" s="152"/>
      <c r="AV36" s="152"/>
      <c r="AW36" s="152"/>
      <c r="AX36" s="152"/>
      <c r="AY36" s="152"/>
      <c r="AZ36" s="152"/>
      <c r="BB36" s="152"/>
      <c r="BC36" s="152"/>
      <c r="BD36" s="152"/>
      <c r="BE36" s="152"/>
      <c r="BF36" s="152"/>
      <c r="BG36" s="152"/>
      <c r="BH36" s="152"/>
      <c r="BI36" s="152"/>
      <c r="BJ36" s="152"/>
      <c r="BK36" s="152"/>
      <c r="BM36" s="152"/>
      <c r="BN36" s="152">
        <f t="shared" si="75"/>
        <v>0</v>
      </c>
      <c r="BO36" s="152">
        <f t="shared" si="76"/>
        <v>0</v>
      </c>
      <c r="BP36" s="152">
        <f t="shared" si="77"/>
        <v>0</v>
      </c>
      <c r="BQ36" s="152">
        <f t="shared" si="78"/>
        <v>0</v>
      </c>
      <c r="BR36" s="152"/>
      <c r="BS36" s="152"/>
      <c r="BT36" s="152"/>
      <c r="BU36" s="152"/>
      <c r="BV36" s="152"/>
      <c r="BX36" s="160"/>
      <c r="BY36" s="159"/>
      <c r="BZ36" s="159"/>
      <c r="CA36" s="159"/>
      <c r="CB36" s="159"/>
      <c r="CC36" s="159"/>
      <c r="CD36" s="159"/>
      <c r="CE36" s="159"/>
      <c r="CF36" s="159"/>
      <c r="CG36" s="159"/>
      <c r="CI36" s="453">
        <f t="shared" si="79"/>
        <v>0</v>
      </c>
      <c r="CJ36" s="453">
        <f t="shared" si="79"/>
        <v>0</v>
      </c>
      <c r="CK36" s="453">
        <f t="shared" si="79"/>
        <v>0</v>
      </c>
      <c r="CL36" s="453">
        <f t="shared" si="79"/>
        <v>0</v>
      </c>
      <c r="CM36" s="453"/>
      <c r="CN36" s="453"/>
      <c r="CO36" s="453"/>
      <c r="CP36" s="453"/>
      <c r="CQ36" s="453"/>
      <c r="CR36" s="453"/>
      <c r="CT36" s="25"/>
      <c r="CU36" s="168"/>
      <c r="CV36" s="168"/>
      <c r="CW36" s="168"/>
      <c r="CX36" s="168"/>
      <c r="CY36" s="168"/>
      <c r="CZ36" s="168"/>
      <c r="DA36" s="168"/>
      <c r="DB36" s="168"/>
      <c r="DC36" s="168"/>
      <c r="DE36" s="20">
        <f t="shared" si="66"/>
        <v>0</v>
      </c>
      <c r="DF36" s="20">
        <f t="shared" si="67"/>
        <v>0</v>
      </c>
      <c r="DG36" s="20">
        <f t="shared" si="68"/>
        <v>0</v>
      </c>
      <c r="DH36" s="20">
        <f t="shared" si="69"/>
        <v>0</v>
      </c>
      <c r="DI36" s="20">
        <f t="shared" si="70"/>
        <v>0</v>
      </c>
      <c r="DJ36" s="20">
        <f t="shared" si="71"/>
        <v>0</v>
      </c>
      <c r="DK36" s="20">
        <f t="shared" si="72"/>
        <v>0</v>
      </c>
      <c r="DL36" s="20">
        <f t="shared" si="73"/>
        <v>0</v>
      </c>
      <c r="DM36" s="20">
        <f t="shared" si="74"/>
        <v>0</v>
      </c>
      <c r="DN36" s="20">
        <f t="shared" si="74"/>
        <v>0</v>
      </c>
      <c r="DP36" s="20"/>
      <c r="DQ36" s="20"/>
      <c r="DR36" s="20"/>
      <c r="DS36" s="20"/>
      <c r="DT36" s="20"/>
      <c r="DU36" s="20"/>
      <c r="DV36" s="20"/>
      <c r="DW36" s="20"/>
      <c r="DX36" s="20"/>
      <c r="DY36" s="20"/>
      <c r="EA36" s="20">
        <f t="shared" si="59"/>
        <v>0</v>
      </c>
      <c r="EB36" s="20">
        <f t="shared" si="29"/>
        <v>0</v>
      </c>
      <c r="EC36" s="20">
        <f t="shared" si="30"/>
        <v>0</v>
      </c>
      <c r="ED36" s="20">
        <f t="shared" si="31"/>
        <v>0</v>
      </c>
      <c r="EE36" s="20">
        <f t="shared" si="32"/>
        <v>0</v>
      </c>
      <c r="EF36" s="20">
        <f t="shared" si="33"/>
        <v>0</v>
      </c>
      <c r="EG36" s="20">
        <f t="shared" si="34"/>
        <v>0</v>
      </c>
      <c r="EH36" s="20">
        <f t="shared" si="35"/>
        <v>0</v>
      </c>
      <c r="EI36" s="20">
        <f t="shared" si="36"/>
        <v>0</v>
      </c>
      <c r="EJ36" s="20">
        <f t="shared" si="37"/>
        <v>0</v>
      </c>
      <c r="EL36" s="152"/>
      <c r="EM36" s="152"/>
      <c r="EN36" s="152"/>
      <c r="EO36" s="152"/>
      <c r="EP36" s="152"/>
      <c r="EQ36" s="152"/>
      <c r="ER36" s="152"/>
      <c r="ES36" s="152"/>
      <c r="ET36" s="152"/>
      <c r="EU36" s="152"/>
      <c r="EW36" s="154">
        <f t="shared" si="60"/>
        <v>0</v>
      </c>
      <c r="EX36" s="154">
        <f t="shared" si="39"/>
        <v>0</v>
      </c>
      <c r="EY36" s="154">
        <f t="shared" si="40"/>
        <v>0</v>
      </c>
      <c r="EZ36" s="154">
        <f t="shared" si="41"/>
        <v>0</v>
      </c>
      <c r="FA36" s="154">
        <f t="shared" si="42"/>
        <v>0</v>
      </c>
      <c r="FB36" s="154">
        <f t="shared" si="43"/>
        <v>0</v>
      </c>
      <c r="FC36" s="154">
        <f t="shared" si="44"/>
        <v>0</v>
      </c>
      <c r="FD36" s="154">
        <f t="shared" si="45"/>
        <v>0</v>
      </c>
      <c r="FE36" s="154">
        <f t="shared" si="46"/>
        <v>0</v>
      </c>
      <c r="FF36" s="154">
        <f t="shared" si="47"/>
        <v>0</v>
      </c>
      <c r="FH36" s="154"/>
      <c r="FI36" s="154"/>
      <c r="FJ36" s="127"/>
      <c r="FK36" s="127"/>
      <c r="FL36" s="127"/>
      <c r="FM36" s="127"/>
      <c r="FN36" s="127"/>
      <c r="FO36" s="127"/>
      <c r="FP36" s="127"/>
      <c r="FQ36" s="127"/>
      <c r="FS36" s="20">
        <f t="shared" si="61"/>
        <v>0</v>
      </c>
      <c r="FT36" s="20">
        <f t="shared" si="49"/>
        <v>0</v>
      </c>
      <c r="FU36" s="128">
        <f t="shared" si="50"/>
        <v>0</v>
      </c>
      <c r="FV36" s="128">
        <f t="shared" si="51"/>
        <v>0</v>
      </c>
      <c r="FW36" s="128">
        <f t="shared" si="52"/>
        <v>0</v>
      </c>
      <c r="FX36" s="128">
        <f t="shared" si="53"/>
        <v>0</v>
      </c>
      <c r="FY36" s="128">
        <f t="shared" si="54"/>
        <v>0</v>
      </c>
      <c r="FZ36" s="128">
        <f t="shared" si="55"/>
        <v>0</v>
      </c>
      <c r="GA36" s="128">
        <f t="shared" si="56"/>
        <v>0</v>
      </c>
      <c r="GB36" s="128">
        <f t="shared" si="57"/>
        <v>0</v>
      </c>
    </row>
    <row r="37" spans="2:184" ht="13.5">
      <c r="B37" s="19"/>
      <c r="C37" s="19"/>
      <c r="D37" s="19"/>
      <c r="E37" s="151"/>
      <c r="F37" s="170"/>
      <c r="G37" s="151"/>
      <c r="H37" s="19"/>
      <c r="J37" s="152"/>
      <c r="K37" s="152"/>
      <c r="L37" s="152"/>
      <c r="M37" s="152"/>
      <c r="N37" s="152"/>
      <c r="O37" s="152"/>
      <c r="P37" s="152"/>
      <c r="Q37" s="152"/>
      <c r="R37" s="152"/>
      <c r="S37" s="152"/>
      <c r="U37" s="152"/>
      <c r="V37" s="152"/>
      <c r="W37" s="152"/>
      <c r="X37" s="152"/>
      <c r="Y37" s="152"/>
      <c r="Z37" s="152"/>
      <c r="AA37" s="152"/>
      <c r="AB37" s="152"/>
      <c r="AC37" s="152"/>
      <c r="AD37" s="152"/>
      <c r="AF37" s="165"/>
      <c r="AG37" s="165"/>
      <c r="AH37" s="165"/>
      <c r="AI37" s="165"/>
      <c r="AJ37" s="165"/>
      <c r="AK37" s="165"/>
      <c r="AL37" s="165"/>
      <c r="AM37" s="165"/>
      <c r="AN37" s="165"/>
      <c r="AO37" s="165"/>
      <c r="AQ37" s="152"/>
      <c r="AR37" s="152"/>
      <c r="AS37" s="152"/>
      <c r="AT37" s="152"/>
      <c r="AU37" s="152"/>
      <c r="AV37" s="152"/>
      <c r="AW37" s="152"/>
      <c r="AX37" s="152"/>
      <c r="AY37" s="152"/>
      <c r="AZ37" s="152"/>
      <c r="BB37" s="152"/>
      <c r="BC37" s="152"/>
      <c r="BD37" s="152"/>
      <c r="BE37" s="152"/>
      <c r="BF37" s="152"/>
      <c r="BG37" s="152"/>
      <c r="BH37" s="152"/>
      <c r="BI37" s="152"/>
      <c r="BJ37" s="152"/>
      <c r="BK37" s="152"/>
      <c r="BM37" s="152"/>
      <c r="BN37" s="152">
        <f t="shared" si="75"/>
        <v>0</v>
      </c>
      <c r="BO37" s="152">
        <f t="shared" si="76"/>
        <v>0</v>
      </c>
      <c r="BP37" s="152">
        <f t="shared" si="77"/>
        <v>0</v>
      </c>
      <c r="BQ37" s="152">
        <f t="shared" si="78"/>
        <v>0</v>
      </c>
      <c r="BR37" s="152"/>
      <c r="BS37" s="152"/>
      <c r="BT37" s="152"/>
      <c r="BU37" s="152"/>
      <c r="BV37" s="152"/>
      <c r="BX37" s="160"/>
      <c r="BY37" s="159"/>
      <c r="BZ37" s="159"/>
      <c r="CA37" s="159"/>
      <c r="CB37" s="159"/>
      <c r="CC37" s="159"/>
      <c r="CD37" s="159"/>
      <c r="CE37" s="159"/>
      <c r="CF37" s="159"/>
      <c r="CG37" s="159"/>
      <c r="CI37" s="453">
        <f t="shared" si="79"/>
        <v>0</v>
      </c>
      <c r="CJ37" s="453">
        <f t="shared" si="79"/>
        <v>0</v>
      </c>
      <c r="CK37" s="453">
        <f t="shared" si="79"/>
        <v>0</v>
      </c>
      <c r="CL37" s="453">
        <f t="shared" si="79"/>
        <v>0</v>
      </c>
      <c r="CM37" s="453"/>
      <c r="CN37" s="453"/>
      <c r="CO37" s="453"/>
      <c r="CP37" s="453"/>
      <c r="CQ37" s="453"/>
      <c r="CR37" s="453"/>
      <c r="CT37" s="25"/>
      <c r="CU37" s="168"/>
      <c r="CV37" s="168"/>
      <c r="CW37" s="168"/>
      <c r="CX37" s="168"/>
      <c r="CY37" s="168"/>
      <c r="CZ37" s="168"/>
      <c r="DA37" s="168"/>
      <c r="DB37" s="168"/>
      <c r="DC37" s="168"/>
      <c r="DE37" s="20">
        <f t="shared" si="66"/>
        <v>0</v>
      </c>
      <c r="DF37" s="20">
        <f t="shared" si="67"/>
        <v>0</v>
      </c>
      <c r="DG37" s="20">
        <f t="shared" si="68"/>
        <v>0</v>
      </c>
      <c r="DH37" s="20">
        <f t="shared" si="69"/>
        <v>0</v>
      </c>
      <c r="DI37" s="20">
        <f t="shared" si="70"/>
        <v>0</v>
      </c>
      <c r="DJ37" s="20">
        <f t="shared" si="71"/>
        <v>0</v>
      </c>
      <c r="DK37" s="20">
        <f t="shared" si="72"/>
        <v>0</v>
      </c>
      <c r="DL37" s="20">
        <f t="shared" si="73"/>
        <v>0</v>
      </c>
      <c r="DM37" s="20">
        <f t="shared" si="74"/>
        <v>0</v>
      </c>
      <c r="DN37" s="20">
        <f t="shared" si="74"/>
        <v>0</v>
      </c>
      <c r="DP37" s="20"/>
      <c r="DQ37" s="20"/>
      <c r="DR37" s="20"/>
      <c r="DS37" s="20"/>
      <c r="DT37" s="20"/>
      <c r="DU37" s="20"/>
      <c r="DV37" s="20"/>
      <c r="DW37" s="20"/>
      <c r="DX37" s="20"/>
      <c r="DY37" s="20"/>
      <c r="EA37" s="20">
        <f t="shared" si="59"/>
        <v>0</v>
      </c>
      <c r="EB37" s="20">
        <f t="shared" si="29"/>
        <v>0</v>
      </c>
      <c r="EC37" s="20">
        <f t="shared" si="30"/>
        <v>0</v>
      </c>
      <c r="ED37" s="20">
        <f t="shared" si="31"/>
        <v>0</v>
      </c>
      <c r="EE37" s="20">
        <f t="shared" si="32"/>
        <v>0</v>
      </c>
      <c r="EF37" s="20">
        <f t="shared" si="33"/>
        <v>0</v>
      </c>
      <c r="EG37" s="20">
        <f t="shared" si="34"/>
        <v>0</v>
      </c>
      <c r="EH37" s="20">
        <f t="shared" si="35"/>
        <v>0</v>
      </c>
      <c r="EI37" s="20">
        <f t="shared" si="36"/>
        <v>0</v>
      </c>
      <c r="EJ37" s="20">
        <f t="shared" si="37"/>
        <v>0</v>
      </c>
      <c r="EL37" s="152"/>
      <c r="EM37" s="152"/>
      <c r="EN37" s="152"/>
      <c r="EO37" s="152"/>
      <c r="EP37" s="152"/>
      <c r="EQ37" s="152"/>
      <c r="ER37" s="152"/>
      <c r="ES37" s="152"/>
      <c r="ET37" s="152"/>
      <c r="EU37" s="152"/>
      <c r="EW37" s="154">
        <f t="shared" si="60"/>
        <v>0</v>
      </c>
      <c r="EX37" s="154">
        <f t="shared" si="39"/>
        <v>0</v>
      </c>
      <c r="EY37" s="154">
        <f t="shared" si="40"/>
        <v>0</v>
      </c>
      <c r="EZ37" s="154">
        <f t="shared" si="41"/>
        <v>0</v>
      </c>
      <c r="FA37" s="154">
        <f t="shared" si="42"/>
        <v>0</v>
      </c>
      <c r="FB37" s="154">
        <f t="shared" si="43"/>
        <v>0</v>
      </c>
      <c r="FC37" s="154">
        <f t="shared" si="44"/>
        <v>0</v>
      </c>
      <c r="FD37" s="154">
        <f t="shared" si="45"/>
        <v>0</v>
      </c>
      <c r="FE37" s="154">
        <f t="shared" si="46"/>
        <v>0</v>
      </c>
      <c r="FF37" s="154">
        <f t="shared" si="47"/>
        <v>0</v>
      </c>
      <c r="FH37" s="154"/>
      <c r="FI37" s="154"/>
      <c r="FJ37" s="127"/>
      <c r="FK37" s="127"/>
      <c r="FL37" s="127"/>
      <c r="FM37" s="127"/>
      <c r="FN37" s="127"/>
      <c r="FO37" s="127"/>
      <c r="FP37" s="127"/>
      <c r="FQ37" s="127"/>
      <c r="FS37" s="20">
        <f t="shared" si="61"/>
        <v>0</v>
      </c>
      <c r="FT37" s="20">
        <f t="shared" si="49"/>
        <v>0</v>
      </c>
      <c r="FU37" s="128">
        <f t="shared" si="50"/>
        <v>0</v>
      </c>
      <c r="FV37" s="128">
        <f t="shared" si="51"/>
        <v>0</v>
      </c>
      <c r="FW37" s="128">
        <f t="shared" si="52"/>
        <v>0</v>
      </c>
      <c r="FX37" s="128">
        <f t="shared" si="53"/>
        <v>0</v>
      </c>
      <c r="FY37" s="128">
        <f t="shared" si="54"/>
        <v>0</v>
      </c>
      <c r="FZ37" s="128">
        <f t="shared" si="55"/>
        <v>0</v>
      </c>
      <c r="GA37" s="128">
        <f t="shared" si="56"/>
        <v>0</v>
      </c>
      <c r="GB37" s="128">
        <f t="shared" si="57"/>
        <v>0</v>
      </c>
    </row>
    <row r="38" spans="2:184" ht="13.5">
      <c r="B38" s="19"/>
      <c r="C38" s="19"/>
      <c r="D38" s="19"/>
      <c r="E38" s="151"/>
      <c r="F38" s="170"/>
      <c r="G38" s="151"/>
      <c r="H38" s="19"/>
      <c r="J38" s="152"/>
      <c r="K38" s="152"/>
      <c r="L38" s="152"/>
      <c r="M38" s="152"/>
      <c r="N38" s="152"/>
      <c r="O38" s="152"/>
      <c r="P38" s="152"/>
      <c r="Q38" s="152"/>
      <c r="R38" s="152"/>
      <c r="S38" s="152"/>
      <c r="U38" s="152"/>
      <c r="V38" s="152"/>
      <c r="W38" s="152"/>
      <c r="X38" s="152"/>
      <c r="Y38" s="152"/>
      <c r="Z38" s="152"/>
      <c r="AA38" s="152"/>
      <c r="AB38" s="152"/>
      <c r="AC38" s="152"/>
      <c r="AD38" s="152"/>
      <c r="AF38" s="165"/>
      <c r="AG38" s="165"/>
      <c r="AH38" s="165"/>
      <c r="AI38" s="165"/>
      <c r="AJ38" s="165"/>
      <c r="AK38" s="165"/>
      <c r="AL38" s="165"/>
      <c r="AM38" s="165"/>
      <c r="AN38" s="165"/>
      <c r="AO38" s="165"/>
      <c r="AQ38" s="152"/>
      <c r="AR38" s="152"/>
      <c r="AS38" s="152"/>
      <c r="AT38" s="152"/>
      <c r="AU38" s="152"/>
      <c r="AV38" s="152"/>
      <c r="AW38" s="152"/>
      <c r="AX38" s="152"/>
      <c r="AY38" s="152"/>
      <c r="AZ38" s="152"/>
      <c r="BB38" s="152"/>
      <c r="BC38" s="152"/>
      <c r="BD38" s="152"/>
      <c r="BE38" s="152"/>
      <c r="BF38" s="152"/>
      <c r="BG38" s="152"/>
      <c r="BH38" s="152"/>
      <c r="BI38" s="152"/>
      <c r="BJ38" s="152"/>
      <c r="BK38" s="152"/>
      <c r="BM38" s="152"/>
      <c r="BN38" s="152">
        <f t="shared" si="75"/>
        <v>0</v>
      </c>
      <c r="BO38" s="152">
        <f t="shared" si="76"/>
        <v>0</v>
      </c>
      <c r="BP38" s="152">
        <f t="shared" si="77"/>
        <v>0</v>
      </c>
      <c r="BQ38" s="152">
        <f t="shared" si="78"/>
        <v>0</v>
      </c>
      <c r="BR38" s="152"/>
      <c r="BS38" s="152"/>
      <c r="BT38" s="152"/>
      <c r="BU38" s="152"/>
      <c r="BV38" s="152"/>
      <c r="BX38" s="160"/>
      <c r="BY38" s="159"/>
      <c r="BZ38" s="159"/>
      <c r="CA38" s="159"/>
      <c r="CB38" s="159"/>
      <c r="CC38" s="159"/>
      <c r="CD38" s="159"/>
      <c r="CE38" s="159"/>
      <c r="CF38" s="159"/>
      <c r="CG38" s="159"/>
      <c r="CI38" s="453">
        <f t="shared" si="79"/>
        <v>0</v>
      </c>
      <c r="CJ38" s="453">
        <f t="shared" si="79"/>
        <v>0</v>
      </c>
      <c r="CK38" s="453">
        <f t="shared" si="79"/>
        <v>0</v>
      </c>
      <c r="CL38" s="453">
        <f t="shared" si="79"/>
        <v>0</v>
      </c>
      <c r="CM38" s="453"/>
      <c r="CN38" s="453"/>
      <c r="CO38" s="453"/>
      <c r="CP38" s="453"/>
      <c r="CQ38" s="453"/>
      <c r="CR38" s="453"/>
      <c r="CT38" s="25"/>
      <c r="CU38" s="168"/>
      <c r="CV38" s="168"/>
      <c r="CW38" s="168"/>
      <c r="CX38" s="168"/>
      <c r="CY38" s="168"/>
      <c r="CZ38" s="168"/>
      <c r="DA38" s="168"/>
      <c r="DB38" s="168"/>
      <c r="DC38" s="168"/>
      <c r="DE38" s="20">
        <f t="shared" si="66"/>
        <v>0</v>
      </c>
      <c r="DF38" s="20">
        <f t="shared" si="67"/>
        <v>0</v>
      </c>
      <c r="DG38" s="20">
        <f t="shared" si="68"/>
        <v>0</v>
      </c>
      <c r="DH38" s="20">
        <f t="shared" si="69"/>
        <v>0</v>
      </c>
      <c r="DI38" s="20">
        <f t="shared" si="70"/>
        <v>0</v>
      </c>
      <c r="DJ38" s="20">
        <f t="shared" si="71"/>
        <v>0</v>
      </c>
      <c r="DK38" s="20">
        <f t="shared" si="72"/>
        <v>0</v>
      </c>
      <c r="DL38" s="20">
        <f t="shared" si="73"/>
        <v>0</v>
      </c>
      <c r="DM38" s="20">
        <f t="shared" si="74"/>
        <v>0</v>
      </c>
      <c r="DN38" s="20">
        <f t="shared" si="74"/>
        <v>0</v>
      </c>
      <c r="DP38" s="20"/>
      <c r="DQ38" s="20"/>
      <c r="DR38" s="20"/>
      <c r="DS38" s="20"/>
      <c r="DT38" s="20"/>
      <c r="DU38" s="20"/>
      <c r="DV38" s="20"/>
      <c r="DW38" s="20"/>
      <c r="DX38" s="20"/>
      <c r="DY38" s="20"/>
      <c r="EA38" s="20">
        <f t="shared" si="59"/>
        <v>0</v>
      </c>
      <c r="EB38" s="20">
        <f t="shared" si="29"/>
        <v>0</v>
      </c>
      <c r="EC38" s="20">
        <f t="shared" si="30"/>
        <v>0</v>
      </c>
      <c r="ED38" s="20">
        <f t="shared" si="31"/>
        <v>0</v>
      </c>
      <c r="EE38" s="20">
        <f t="shared" si="32"/>
        <v>0</v>
      </c>
      <c r="EF38" s="20">
        <f t="shared" si="33"/>
        <v>0</v>
      </c>
      <c r="EG38" s="20">
        <f t="shared" si="34"/>
        <v>0</v>
      </c>
      <c r="EH38" s="20">
        <f t="shared" si="35"/>
        <v>0</v>
      </c>
      <c r="EI38" s="20">
        <f t="shared" si="36"/>
        <v>0</v>
      </c>
      <c r="EJ38" s="20">
        <f t="shared" si="37"/>
        <v>0</v>
      </c>
      <c r="EL38" s="152"/>
      <c r="EM38" s="152"/>
      <c r="EN38" s="152"/>
      <c r="EO38" s="152"/>
      <c r="EP38" s="152"/>
      <c r="EQ38" s="152"/>
      <c r="ER38" s="152"/>
      <c r="ES38" s="152"/>
      <c r="ET38" s="152"/>
      <c r="EU38" s="152"/>
      <c r="EW38" s="154">
        <f t="shared" si="60"/>
        <v>0</v>
      </c>
      <c r="EX38" s="154">
        <f t="shared" si="39"/>
        <v>0</v>
      </c>
      <c r="EY38" s="154">
        <f t="shared" si="40"/>
        <v>0</v>
      </c>
      <c r="EZ38" s="154">
        <f t="shared" si="41"/>
        <v>0</v>
      </c>
      <c r="FA38" s="154">
        <f t="shared" si="42"/>
        <v>0</v>
      </c>
      <c r="FB38" s="154">
        <f t="shared" si="43"/>
        <v>0</v>
      </c>
      <c r="FC38" s="154">
        <f t="shared" si="44"/>
        <v>0</v>
      </c>
      <c r="FD38" s="154">
        <f t="shared" si="45"/>
        <v>0</v>
      </c>
      <c r="FE38" s="154">
        <f t="shared" si="46"/>
        <v>0</v>
      </c>
      <c r="FF38" s="154">
        <f t="shared" si="47"/>
        <v>0</v>
      </c>
      <c r="FH38" s="154"/>
      <c r="FI38" s="154"/>
      <c r="FJ38" s="127"/>
      <c r="FK38" s="127"/>
      <c r="FL38" s="127"/>
      <c r="FM38" s="127"/>
      <c r="FN38" s="127"/>
      <c r="FO38" s="127"/>
      <c r="FP38" s="127"/>
      <c r="FQ38" s="127"/>
      <c r="FS38" s="20">
        <f t="shared" si="61"/>
        <v>0</v>
      </c>
      <c r="FT38" s="20">
        <f t="shared" si="49"/>
        <v>0</v>
      </c>
      <c r="FU38" s="128">
        <f t="shared" si="50"/>
        <v>0</v>
      </c>
      <c r="FV38" s="128">
        <f t="shared" si="51"/>
        <v>0</v>
      </c>
      <c r="FW38" s="128">
        <f t="shared" si="52"/>
        <v>0</v>
      </c>
      <c r="FX38" s="128">
        <f t="shared" si="53"/>
        <v>0</v>
      </c>
      <c r="FY38" s="128">
        <f t="shared" si="54"/>
        <v>0</v>
      </c>
      <c r="FZ38" s="128">
        <f t="shared" si="55"/>
        <v>0</v>
      </c>
      <c r="GA38" s="128">
        <f t="shared" si="56"/>
        <v>0</v>
      </c>
      <c r="GB38" s="128">
        <f t="shared" si="57"/>
        <v>0</v>
      </c>
    </row>
    <row r="39" spans="2:184" ht="13.5">
      <c r="B39" s="19"/>
      <c r="C39" s="19"/>
      <c r="D39" s="19"/>
      <c r="E39" s="151"/>
      <c r="F39" s="170"/>
      <c r="G39" s="151"/>
      <c r="H39" s="19"/>
      <c r="J39" s="152"/>
      <c r="K39" s="152"/>
      <c r="L39" s="152"/>
      <c r="M39" s="152"/>
      <c r="N39" s="152"/>
      <c r="O39" s="152"/>
      <c r="P39" s="152"/>
      <c r="Q39" s="152"/>
      <c r="R39" s="152"/>
      <c r="S39" s="152"/>
      <c r="U39" s="152"/>
      <c r="V39" s="152"/>
      <c r="W39" s="152"/>
      <c r="X39" s="152"/>
      <c r="Y39" s="152"/>
      <c r="Z39" s="152"/>
      <c r="AA39" s="152"/>
      <c r="AB39" s="152"/>
      <c r="AC39" s="152"/>
      <c r="AD39" s="152"/>
      <c r="AF39" s="165"/>
      <c r="AG39" s="165"/>
      <c r="AH39" s="165"/>
      <c r="AI39" s="165"/>
      <c r="AJ39" s="165"/>
      <c r="AK39" s="165"/>
      <c r="AL39" s="165"/>
      <c r="AM39" s="165"/>
      <c r="AN39" s="165"/>
      <c r="AO39" s="165"/>
      <c r="AQ39" s="152"/>
      <c r="AR39" s="152"/>
      <c r="AS39" s="152"/>
      <c r="AT39" s="152"/>
      <c r="AU39" s="152"/>
      <c r="AV39" s="152"/>
      <c r="AW39" s="152"/>
      <c r="AX39" s="152"/>
      <c r="AY39" s="152"/>
      <c r="AZ39" s="152"/>
      <c r="BB39" s="152"/>
      <c r="BC39" s="152"/>
      <c r="BD39" s="152"/>
      <c r="BE39" s="152"/>
      <c r="BF39" s="152"/>
      <c r="BG39" s="152"/>
      <c r="BH39" s="152"/>
      <c r="BI39" s="152"/>
      <c r="BJ39" s="152"/>
      <c r="BK39" s="152"/>
      <c r="BM39" s="152"/>
      <c r="BN39" s="152">
        <f t="shared" si="75"/>
        <v>0</v>
      </c>
      <c r="BO39" s="152">
        <f t="shared" si="76"/>
        <v>0</v>
      </c>
      <c r="BP39" s="152">
        <f t="shared" si="77"/>
        <v>0</v>
      </c>
      <c r="BQ39" s="152">
        <f t="shared" si="78"/>
        <v>0</v>
      </c>
      <c r="BR39" s="152"/>
      <c r="BS39" s="152"/>
      <c r="BT39" s="152"/>
      <c r="BU39" s="152"/>
      <c r="BV39" s="152"/>
      <c r="BX39" s="160"/>
      <c r="BY39" s="159"/>
      <c r="BZ39" s="159"/>
      <c r="CA39" s="159"/>
      <c r="CB39" s="159"/>
      <c r="CC39" s="159"/>
      <c r="CD39" s="159"/>
      <c r="CE39" s="159"/>
      <c r="CF39" s="159"/>
      <c r="CG39" s="159"/>
      <c r="CI39" s="453">
        <f t="shared" si="79"/>
        <v>0</v>
      </c>
      <c r="CJ39" s="453">
        <f t="shared" si="79"/>
        <v>0</v>
      </c>
      <c r="CK39" s="453">
        <f t="shared" si="79"/>
        <v>0</v>
      </c>
      <c r="CL39" s="453">
        <f t="shared" si="79"/>
        <v>0</v>
      </c>
      <c r="CM39" s="453"/>
      <c r="CN39" s="453"/>
      <c r="CO39" s="453"/>
      <c r="CP39" s="453"/>
      <c r="CQ39" s="453"/>
      <c r="CR39" s="453"/>
      <c r="CT39" s="25"/>
      <c r="CU39" s="168"/>
      <c r="CV39" s="168"/>
      <c r="CW39" s="168"/>
      <c r="CX39" s="168"/>
      <c r="CY39" s="168"/>
      <c r="CZ39" s="168"/>
      <c r="DA39" s="168"/>
      <c r="DB39" s="168"/>
      <c r="DC39" s="168"/>
      <c r="DE39" s="20">
        <f t="shared" si="66"/>
        <v>0</v>
      </c>
      <c r="DF39" s="20">
        <f t="shared" si="67"/>
        <v>0</v>
      </c>
      <c r="DG39" s="20">
        <f t="shared" si="68"/>
        <v>0</v>
      </c>
      <c r="DH39" s="20">
        <f t="shared" si="69"/>
        <v>0</v>
      </c>
      <c r="DI39" s="20">
        <f t="shared" si="70"/>
        <v>0</v>
      </c>
      <c r="DJ39" s="20">
        <f t="shared" si="71"/>
        <v>0</v>
      </c>
      <c r="DK39" s="20">
        <f t="shared" si="72"/>
        <v>0</v>
      </c>
      <c r="DL39" s="20">
        <f t="shared" si="73"/>
        <v>0</v>
      </c>
      <c r="DM39" s="20">
        <f t="shared" si="74"/>
        <v>0</v>
      </c>
      <c r="DN39" s="20">
        <f t="shared" si="74"/>
        <v>0</v>
      </c>
      <c r="DP39" s="20"/>
      <c r="DQ39" s="20"/>
      <c r="DR39" s="20"/>
      <c r="DS39" s="20"/>
      <c r="DT39" s="20"/>
      <c r="DU39" s="20"/>
      <c r="DV39" s="20"/>
      <c r="DW39" s="20"/>
      <c r="DX39" s="20"/>
      <c r="DY39" s="20"/>
      <c r="EA39" s="20">
        <f t="shared" si="59"/>
        <v>0</v>
      </c>
      <c r="EB39" s="20">
        <f t="shared" si="29"/>
        <v>0</v>
      </c>
      <c r="EC39" s="20">
        <f t="shared" si="30"/>
        <v>0</v>
      </c>
      <c r="ED39" s="20">
        <f t="shared" si="31"/>
        <v>0</v>
      </c>
      <c r="EE39" s="20">
        <f t="shared" si="32"/>
        <v>0</v>
      </c>
      <c r="EF39" s="20">
        <f t="shared" si="33"/>
        <v>0</v>
      </c>
      <c r="EG39" s="20">
        <f t="shared" si="34"/>
        <v>0</v>
      </c>
      <c r="EH39" s="20">
        <f t="shared" si="35"/>
        <v>0</v>
      </c>
      <c r="EI39" s="20">
        <f t="shared" si="36"/>
        <v>0</v>
      </c>
      <c r="EJ39" s="20">
        <f t="shared" si="37"/>
        <v>0</v>
      </c>
      <c r="EL39" s="152"/>
      <c r="EM39" s="152"/>
      <c r="EN39" s="152"/>
      <c r="EO39" s="152"/>
      <c r="EP39" s="152"/>
      <c r="EQ39" s="152"/>
      <c r="ER39" s="152"/>
      <c r="ES39" s="152"/>
      <c r="ET39" s="152"/>
      <c r="EU39" s="152"/>
      <c r="EW39" s="154">
        <f t="shared" si="60"/>
        <v>0</v>
      </c>
      <c r="EX39" s="154">
        <f t="shared" si="39"/>
        <v>0</v>
      </c>
      <c r="EY39" s="154">
        <f t="shared" si="40"/>
        <v>0</v>
      </c>
      <c r="EZ39" s="154">
        <f t="shared" si="41"/>
        <v>0</v>
      </c>
      <c r="FA39" s="154">
        <f t="shared" si="42"/>
        <v>0</v>
      </c>
      <c r="FB39" s="154">
        <f t="shared" si="43"/>
        <v>0</v>
      </c>
      <c r="FC39" s="154">
        <f t="shared" si="44"/>
        <v>0</v>
      </c>
      <c r="FD39" s="154">
        <f t="shared" si="45"/>
        <v>0</v>
      </c>
      <c r="FE39" s="154">
        <f t="shared" si="46"/>
        <v>0</v>
      </c>
      <c r="FF39" s="154">
        <f t="shared" si="47"/>
        <v>0</v>
      </c>
      <c r="FH39" s="154"/>
      <c r="FI39" s="154"/>
      <c r="FJ39" s="127"/>
      <c r="FK39" s="127"/>
      <c r="FL39" s="127"/>
      <c r="FM39" s="127"/>
      <c r="FN39" s="127"/>
      <c r="FO39" s="127"/>
      <c r="FP39" s="127"/>
      <c r="FQ39" s="127"/>
      <c r="FS39" s="20">
        <f t="shared" si="61"/>
        <v>0</v>
      </c>
      <c r="FT39" s="20">
        <f t="shared" si="49"/>
        <v>0</v>
      </c>
      <c r="FU39" s="128">
        <f t="shared" si="50"/>
        <v>0</v>
      </c>
      <c r="FV39" s="128">
        <f t="shared" si="51"/>
        <v>0</v>
      </c>
      <c r="FW39" s="128">
        <f t="shared" si="52"/>
        <v>0</v>
      </c>
      <c r="FX39" s="128">
        <f t="shared" si="53"/>
        <v>0</v>
      </c>
      <c r="FY39" s="128">
        <f t="shared" si="54"/>
        <v>0</v>
      </c>
      <c r="FZ39" s="128">
        <f t="shared" si="55"/>
        <v>0</v>
      </c>
      <c r="GA39" s="128">
        <f t="shared" si="56"/>
        <v>0</v>
      </c>
      <c r="GB39" s="128">
        <f t="shared" si="57"/>
        <v>0</v>
      </c>
    </row>
    <row r="40" spans="2:184" ht="13.5">
      <c r="B40" s="19"/>
      <c r="C40" s="19"/>
      <c r="D40" s="19"/>
      <c r="E40" s="151"/>
      <c r="F40" s="170"/>
      <c r="G40" s="151"/>
      <c r="H40" s="19"/>
      <c r="J40" s="152"/>
      <c r="K40" s="152"/>
      <c r="L40" s="152"/>
      <c r="M40" s="152"/>
      <c r="N40" s="152"/>
      <c r="O40" s="152"/>
      <c r="P40" s="152"/>
      <c r="Q40" s="152"/>
      <c r="R40" s="152"/>
      <c r="S40" s="152"/>
      <c r="U40" s="152"/>
      <c r="V40" s="152"/>
      <c r="W40" s="152"/>
      <c r="X40" s="152"/>
      <c r="Y40" s="152"/>
      <c r="Z40" s="152"/>
      <c r="AA40" s="152"/>
      <c r="AB40" s="152"/>
      <c r="AC40" s="152"/>
      <c r="AD40" s="152"/>
      <c r="AF40" s="165"/>
      <c r="AG40" s="165"/>
      <c r="AH40" s="165"/>
      <c r="AI40" s="165"/>
      <c r="AJ40" s="165"/>
      <c r="AK40" s="165"/>
      <c r="AL40" s="165"/>
      <c r="AM40" s="165"/>
      <c r="AN40" s="165"/>
      <c r="AO40" s="165"/>
      <c r="AQ40" s="152"/>
      <c r="AR40" s="152"/>
      <c r="AS40" s="152"/>
      <c r="AT40" s="152"/>
      <c r="AU40" s="152"/>
      <c r="AV40" s="152"/>
      <c r="AW40" s="152"/>
      <c r="AX40" s="152"/>
      <c r="AY40" s="152"/>
      <c r="AZ40" s="152"/>
      <c r="BB40" s="152"/>
      <c r="BC40" s="152"/>
      <c r="BD40" s="152"/>
      <c r="BE40" s="152"/>
      <c r="BF40" s="152"/>
      <c r="BG40" s="152"/>
      <c r="BH40" s="152"/>
      <c r="BI40" s="152"/>
      <c r="BJ40" s="152"/>
      <c r="BK40" s="152"/>
      <c r="BM40" s="152"/>
      <c r="BN40" s="152">
        <f t="shared" si="75"/>
        <v>0</v>
      </c>
      <c r="BO40" s="152">
        <f t="shared" si="76"/>
        <v>0</v>
      </c>
      <c r="BP40" s="152">
        <f t="shared" si="77"/>
        <v>0</v>
      </c>
      <c r="BQ40" s="152">
        <f t="shared" si="78"/>
        <v>0</v>
      </c>
      <c r="BR40" s="152"/>
      <c r="BS40" s="152"/>
      <c r="BT40" s="152"/>
      <c r="BU40" s="152"/>
      <c r="BV40" s="152"/>
      <c r="BX40" s="160"/>
      <c r="BY40" s="159"/>
      <c r="BZ40" s="159"/>
      <c r="CA40" s="159"/>
      <c r="CB40" s="159"/>
      <c r="CC40" s="159"/>
      <c r="CD40" s="159"/>
      <c r="CE40" s="159"/>
      <c r="CF40" s="159"/>
      <c r="CG40" s="159"/>
      <c r="CI40" s="453">
        <f t="shared" si="79"/>
        <v>0</v>
      </c>
      <c r="CJ40" s="453">
        <f t="shared" si="79"/>
        <v>0</v>
      </c>
      <c r="CK40" s="453">
        <f t="shared" si="79"/>
        <v>0</v>
      </c>
      <c r="CL40" s="453">
        <f t="shared" si="79"/>
        <v>0</v>
      </c>
      <c r="CM40" s="453"/>
      <c r="CN40" s="453"/>
      <c r="CO40" s="453"/>
      <c r="CP40" s="453"/>
      <c r="CQ40" s="453"/>
      <c r="CR40" s="453"/>
      <c r="CT40" s="25"/>
      <c r="CU40" s="168"/>
      <c r="CV40" s="168"/>
      <c r="CW40" s="168"/>
      <c r="CX40" s="168"/>
      <c r="CY40" s="168"/>
      <c r="CZ40" s="168"/>
      <c r="DA40" s="168"/>
      <c r="DB40" s="168"/>
      <c r="DC40" s="168"/>
      <c r="DE40" s="20">
        <f t="shared" si="66"/>
        <v>0</v>
      </c>
      <c r="DF40" s="20">
        <f t="shared" si="67"/>
        <v>0</v>
      </c>
      <c r="DG40" s="20">
        <f t="shared" si="68"/>
        <v>0</v>
      </c>
      <c r="DH40" s="20">
        <f t="shared" si="69"/>
        <v>0</v>
      </c>
      <c r="DI40" s="20">
        <f t="shared" si="70"/>
        <v>0</v>
      </c>
      <c r="DJ40" s="20">
        <f t="shared" si="71"/>
        <v>0</v>
      </c>
      <c r="DK40" s="20">
        <f t="shared" si="72"/>
        <v>0</v>
      </c>
      <c r="DL40" s="20">
        <f t="shared" si="73"/>
        <v>0</v>
      </c>
      <c r="DM40" s="20">
        <f t="shared" si="74"/>
        <v>0</v>
      </c>
      <c r="DN40" s="20">
        <f t="shared" si="74"/>
        <v>0</v>
      </c>
      <c r="DP40" s="20"/>
      <c r="DQ40" s="20"/>
      <c r="DR40" s="20"/>
      <c r="DS40" s="20"/>
      <c r="DT40" s="20"/>
      <c r="DU40" s="20"/>
      <c r="DV40" s="20"/>
      <c r="DW40" s="20"/>
      <c r="DX40" s="20"/>
      <c r="DY40" s="20"/>
      <c r="EA40" s="20">
        <f t="shared" si="59"/>
        <v>0</v>
      </c>
      <c r="EB40" s="20">
        <f t="shared" si="29"/>
        <v>0</v>
      </c>
      <c r="EC40" s="20">
        <f t="shared" si="30"/>
        <v>0</v>
      </c>
      <c r="ED40" s="20">
        <f t="shared" si="31"/>
        <v>0</v>
      </c>
      <c r="EE40" s="20">
        <f t="shared" si="32"/>
        <v>0</v>
      </c>
      <c r="EF40" s="20">
        <f t="shared" si="33"/>
        <v>0</v>
      </c>
      <c r="EG40" s="20">
        <f t="shared" si="34"/>
        <v>0</v>
      </c>
      <c r="EH40" s="20">
        <f t="shared" si="35"/>
        <v>0</v>
      </c>
      <c r="EI40" s="20">
        <f t="shared" si="36"/>
        <v>0</v>
      </c>
      <c r="EJ40" s="20">
        <f t="shared" si="37"/>
        <v>0</v>
      </c>
      <c r="EL40" s="152"/>
      <c r="EM40" s="152"/>
      <c r="EN40" s="152"/>
      <c r="EO40" s="152"/>
      <c r="EP40" s="152"/>
      <c r="EQ40" s="152"/>
      <c r="ER40" s="152"/>
      <c r="ES40" s="152"/>
      <c r="ET40" s="152"/>
      <c r="EU40" s="152"/>
      <c r="EW40" s="154">
        <f t="shared" si="60"/>
        <v>0</v>
      </c>
      <c r="EX40" s="154">
        <f t="shared" si="39"/>
        <v>0</v>
      </c>
      <c r="EY40" s="154">
        <f t="shared" si="40"/>
        <v>0</v>
      </c>
      <c r="EZ40" s="154">
        <f t="shared" si="41"/>
        <v>0</v>
      </c>
      <c r="FA40" s="154">
        <f t="shared" si="42"/>
        <v>0</v>
      </c>
      <c r="FB40" s="154">
        <f t="shared" si="43"/>
        <v>0</v>
      </c>
      <c r="FC40" s="154">
        <f t="shared" si="44"/>
        <v>0</v>
      </c>
      <c r="FD40" s="154">
        <f t="shared" si="45"/>
        <v>0</v>
      </c>
      <c r="FE40" s="154">
        <f t="shared" si="46"/>
        <v>0</v>
      </c>
      <c r="FF40" s="154">
        <f t="shared" si="47"/>
        <v>0</v>
      </c>
      <c r="FH40" s="154"/>
      <c r="FI40" s="154"/>
      <c r="FJ40" s="127"/>
      <c r="FK40" s="127"/>
      <c r="FL40" s="127"/>
      <c r="FM40" s="127"/>
      <c r="FN40" s="127"/>
      <c r="FO40" s="127"/>
      <c r="FP40" s="127"/>
      <c r="FQ40" s="127"/>
      <c r="FS40" s="20">
        <f t="shared" si="61"/>
        <v>0</v>
      </c>
      <c r="FT40" s="20">
        <f t="shared" si="49"/>
        <v>0</v>
      </c>
      <c r="FU40" s="128">
        <f t="shared" si="50"/>
        <v>0</v>
      </c>
      <c r="FV40" s="128">
        <f t="shared" si="51"/>
        <v>0</v>
      </c>
      <c r="FW40" s="128">
        <f t="shared" si="52"/>
        <v>0</v>
      </c>
      <c r="FX40" s="128">
        <f t="shared" si="53"/>
        <v>0</v>
      </c>
      <c r="FY40" s="128">
        <f t="shared" si="54"/>
        <v>0</v>
      </c>
      <c r="FZ40" s="128">
        <f t="shared" si="55"/>
        <v>0</v>
      </c>
      <c r="GA40" s="128">
        <f t="shared" si="56"/>
        <v>0</v>
      </c>
      <c r="GB40" s="128">
        <f t="shared" si="57"/>
        <v>0</v>
      </c>
    </row>
    <row r="41" spans="2:184" ht="13.5">
      <c r="B41" s="19"/>
      <c r="C41" s="19"/>
      <c r="D41" s="19"/>
      <c r="E41" s="151"/>
      <c r="F41" s="170"/>
      <c r="G41" s="151"/>
      <c r="H41" s="19"/>
      <c r="J41" s="152"/>
      <c r="K41" s="152"/>
      <c r="L41" s="152"/>
      <c r="M41" s="152"/>
      <c r="N41" s="152"/>
      <c r="O41" s="152"/>
      <c r="P41" s="152"/>
      <c r="Q41" s="152"/>
      <c r="R41" s="152"/>
      <c r="S41" s="152"/>
      <c r="U41" s="152"/>
      <c r="V41" s="152"/>
      <c r="W41" s="152"/>
      <c r="X41" s="152"/>
      <c r="Y41" s="152"/>
      <c r="Z41" s="152"/>
      <c r="AA41" s="152"/>
      <c r="AB41" s="152"/>
      <c r="AC41" s="152"/>
      <c r="AD41" s="152"/>
      <c r="AF41" s="165"/>
      <c r="AG41" s="165"/>
      <c r="AH41" s="165"/>
      <c r="AI41" s="165"/>
      <c r="AJ41" s="165"/>
      <c r="AK41" s="165"/>
      <c r="AL41" s="165"/>
      <c r="AM41" s="165"/>
      <c r="AN41" s="165"/>
      <c r="AO41" s="165"/>
      <c r="AQ41" s="152"/>
      <c r="AR41" s="152"/>
      <c r="AS41" s="152"/>
      <c r="AT41" s="152"/>
      <c r="AU41" s="152"/>
      <c r="AV41" s="152"/>
      <c r="AW41" s="152"/>
      <c r="AX41" s="152"/>
      <c r="AY41" s="152"/>
      <c r="AZ41" s="152"/>
      <c r="BB41" s="152"/>
      <c r="BC41" s="152"/>
      <c r="BD41" s="152"/>
      <c r="BE41" s="152"/>
      <c r="BF41" s="152"/>
      <c r="BG41" s="152"/>
      <c r="BH41" s="152"/>
      <c r="BI41" s="152"/>
      <c r="BJ41" s="152"/>
      <c r="BK41" s="152"/>
      <c r="BM41" s="152"/>
      <c r="BN41" s="152">
        <f t="shared" si="75"/>
        <v>0</v>
      </c>
      <c r="BO41" s="152">
        <f t="shared" si="76"/>
        <v>0</v>
      </c>
      <c r="BP41" s="152">
        <f t="shared" si="77"/>
        <v>0</v>
      </c>
      <c r="BQ41" s="152">
        <f t="shared" si="78"/>
        <v>0</v>
      </c>
      <c r="BR41" s="152"/>
      <c r="BS41" s="152"/>
      <c r="BT41" s="152"/>
      <c r="BU41" s="152"/>
      <c r="BV41" s="152"/>
      <c r="BX41" s="160"/>
      <c r="BY41" s="159"/>
      <c r="BZ41" s="159"/>
      <c r="CA41" s="159"/>
      <c r="CB41" s="159"/>
      <c r="CC41" s="159"/>
      <c r="CD41" s="159"/>
      <c r="CE41" s="159"/>
      <c r="CF41" s="159"/>
      <c r="CG41" s="159"/>
      <c r="CI41" s="453">
        <f t="shared" si="79"/>
        <v>0</v>
      </c>
      <c r="CJ41" s="453">
        <f t="shared" ref="CJ41:CJ43" si="80">+BY41*BN41</f>
        <v>0</v>
      </c>
      <c r="CK41" s="453">
        <f t="shared" ref="CK41:CK43" si="81">+BZ41*BO41</f>
        <v>0</v>
      </c>
      <c r="CL41" s="453">
        <f t="shared" ref="CL41:CL43" si="82">+CA41*BP41</f>
        <v>0</v>
      </c>
      <c r="CM41" s="453"/>
      <c r="CN41" s="453"/>
      <c r="CO41" s="453"/>
      <c r="CP41" s="453"/>
      <c r="CQ41" s="453"/>
      <c r="CR41" s="453"/>
      <c r="CT41" s="25"/>
      <c r="CU41" s="168"/>
      <c r="CV41" s="168"/>
      <c r="CW41" s="168"/>
      <c r="CX41" s="168"/>
      <c r="CY41" s="168"/>
      <c r="CZ41" s="168"/>
      <c r="DA41" s="168"/>
      <c r="DB41" s="168"/>
      <c r="DC41" s="168"/>
      <c r="DE41" s="20">
        <f t="shared" si="66"/>
        <v>0</v>
      </c>
      <c r="DF41" s="20">
        <f t="shared" si="67"/>
        <v>0</v>
      </c>
      <c r="DG41" s="20">
        <f t="shared" si="68"/>
        <v>0</v>
      </c>
      <c r="DH41" s="20">
        <f t="shared" si="69"/>
        <v>0</v>
      </c>
      <c r="DI41" s="20">
        <f t="shared" si="70"/>
        <v>0</v>
      </c>
      <c r="DJ41" s="20">
        <f t="shared" si="71"/>
        <v>0</v>
      </c>
      <c r="DK41" s="20">
        <f t="shared" si="72"/>
        <v>0</v>
      </c>
      <c r="DL41" s="20">
        <f t="shared" si="73"/>
        <v>0</v>
      </c>
      <c r="DM41" s="20">
        <f t="shared" si="74"/>
        <v>0</v>
      </c>
      <c r="DN41" s="20">
        <f t="shared" si="74"/>
        <v>0</v>
      </c>
      <c r="DP41" s="20"/>
      <c r="DQ41" s="20"/>
      <c r="DR41" s="20"/>
      <c r="DS41" s="20"/>
      <c r="DT41" s="20"/>
      <c r="DU41" s="20"/>
      <c r="DV41" s="20"/>
      <c r="DW41" s="20"/>
      <c r="DX41" s="20"/>
      <c r="DY41" s="20"/>
      <c r="EA41" s="20">
        <f t="shared" si="59"/>
        <v>0</v>
      </c>
      <c r="EB41" s="20">
        <f t="shared" si="29"/>
        <v>0</v>
      </c>
      <c r="EC41" s="20">
        <f t="shared" si="30"/>
        <v>0</v>
      </c>
      <c r="ED41" s="20">
        <f t="shared" si="31"/>
        <v>0</v>
      </c>
      <c r="EE41" s="20">
        <f t="shared" si="32"/>
        <v>0</v>
      </c>
      <c r="EF41" s="20">
        <f t="shared" si="33"/>
        <v>0</v>
      </c>
      <c r="EG41" s="20">
        <f t="shared" si="34"/>
        <v>0</v>
      </c>
      <c r="EH41" s="20">
        <f t="shared" si="35"/>
        <v>0</v>
      </c>
      <c r="EI41" s="20">
        <f t="shared" si="36"/>
        <v>0</v>
      </c>
      <c r="EJ41" s="20">
        <f t="shared" si="37"/>
        <v>0</v>
      </c>
      <c r="EL41" s="152"/>
      <c r="EM41" s="152"/>
      <c r="EN41" s="152"/>
      <c r="EO41" s="152"/>
      <c r="EP41" s="152"/>
      <c r="EQ41" s="152"/>
      <c r="ER41" s="152"/>
      <c r="ES41" s="152"/>
      <c r="ET41" s="152"/>
      <c r="EU41" s="152"/>
      <c r="EW41" s="154">
        <f t="shared" si="60"/>
        <v>0</v>
      </c>
      <c r="EX41" s="154">
        <f t="shared" si="39"/>
        <v>0</v>
      </c>
      <c r="EY41" s="154">
        <f t="shared" si="40"/>
        <v>0</v>
      </c>
      <c r="EZ41" s="154">
        <f t="shared" si="41"/>
        <v>0</v>
      </c>
      <c r="FA41" s="154">
        <f t="shared" si="42"/>
        <v>0</v>
      </c>
      <c r="FB41" s="154">
        <f t="shared" si="43"/>
        <v>0</v>
      </c>
      <c r="FC41" s="154">
        <f t="shared" si="44"/>
        <v>0</v>
      </c>
      <c r="FD41" s="154">
        <f t="shared" si="45"/>
        <v>0</v>
      </c>
      <c r="FE41" s="154">
        <f t="shared" si="46"/>
        <v>0</v>
      </c>
      <c r="FF41" s="154">
        <f t="shared" si="47"/>
        <v>0</v>
      </c>
      <c r="FH41" s="154"/>
      <c r="FI41" s="154"/>
      <c r="FJ41" s="127"/>
      <c r="FK41" s="127"/>
      <c r="FL41" s="127"/>
      <c r="FM41" s="127"/>
      <c r="FN41" s="127"/>
      <c r="FO41" s="127"/>
      <c r="FP41" s="127"/>
      <c r="FQ41" s="127"/>
      <c r="FS41" s="20">
        <f t="shared" si="61"/>
        <v>0</v>
      </c>
      <c r="FT41" s="20">
        <f t="shared" si="49"/>
        <v>0</v>
      </c>
      <c r="FU41" s="128">
        <f t="shared" si="50"/>
        <v>0</v>
      </c>
      <c r="FV41" s="128">
        <f t="shared" si="51"/>
        <v>0</v>
      </c>
      <c r="FW41" s="128">
        <f t="shared" si="52"/>
        <v>0</v>
      </c>
      <c r="FX41" s="128">
        <f t="shared" si="53"/>
        <v>0</v>
      </c>
      <c r="FY41" s="128">
        <f t="shared" si="54"/>
        <v>0</v>
      </c>
      <c r="FZ41" s="128">
        <f t="shared" si="55"/>
        <v>0</v>
      </c>
      <c r="GA41" s="128">
        <f t="shared" si="56"/>
        <v>0</v>
      </c>
      <c r="GB41" s="128">
        <f t="shared" si="57"/>
        <v>0</v>
      </c>
    </row>
    <row r="42" spans="2:184" ht="13.5">
      <c r="B42" s="19"/>
      <c r="C42" s="19"/>
      <c r="D42" s="19"/>
      <c r="E42" s="151"/>
      <c r="F42" s="170"/>
      <c r="G42" s="151"/>
      <c r="H42" s="19"/>
      <c r="J42" s="152"/>
      <c r="K42" s="152"/>
      <c r="L42" s="152"/>
      <c r="M42" s="152"/>
      <c r="N42" s="152"/>
      <c r="O42" s="152"/>
      <c r="P42" s="152"/>
      <c r="Q42" s="152"/>
      <c r="R42" s="152"/>
      <c r="S42" s="152"/>
      <c r="U42" s="152"/>
      <c r="V42" s="152"/>
      <c r="W42" s="152"/>
      <c r="X42" s="152"/>
      <c r="Y42" s="152"/>
      <c r="Z42" s="152"/>
      <c r="AA42" s="152"/>
      <c r="AB42" s="152"/>
      <c r="AC42" s="152"/>
      <c r="AD42" s="152"/>
      <c r="AF42" s="165"/>
      <c r="AG42" s="165"/>
      <c r="AH42" s="165"/>
      <c r="AI42" s="165"/>
      <c r="AJ42" s="165"/>
      <c r="AK42" s="165"/>
      <c r="AL42" s="165"/>
      <c r="AM42" s="165"/>
      <c r="AN42" s="165"/>
      <c r="AO42" s="165"/>
      <c r="AQ42" s="152"/>
      <c r="AR42" s="152"/>
      <c r="AS42" s="152"/>
      <c r="AT42" s="152"/>
      <c r="AU42" s="152"/>
      <c r="AV42" s="152"/>
      <c r="AW42" s="152"/>
      <c r="AX42" s="152"/>
      <c r="AY42" s="152"/>
      <c r="AZ42" s="152"/>
      <c r="BB42" s="152"/>
      <c r="BC42" s="152"/>
      <c r="BD42" s="152"/>
      <c r="BE42" s="152"/>
      <c r="BF42" s="152"/>
      <c r="BG42" s="152"/>
      <c r="BH42" s="152"/>
      <c r="BI42" s="152"/>
      <c r="BJ42" s="152"/>
      <c r="BK42" s="152"/>
      <c r="BM42" s="152"/>
      <c r="BN42" s="152">
        <f t="shared" si="75"/>
        <v>0</v>
      </c>
      <c r="BO42" s="152">
        <f t="shared" si="76"/>
        <v>0</v>
      </c>
      <c r="BP42" s="152">
        <f t="shared" si="77"/>
        <v>0</v>
      </c>
      <c r="BQ42" s="152">
        <f t="shared" si="78"/>
        <v>0</v>
      </c>
      <c r="BR42" s="152"/>
      <c r="BS42" s="152"/>
      <c r="BT42" s="152"/>
      <c r="BU42" s="152"/>
      <c r="BV42" s="152"/>
      <c r="BX42" s="160"/>
      <c r="BY42" s="159"/>
      <c r="BZ42" s="159"/>
      <c r="CA42" s="159"/>
      <c r="CB42" s="159"/>
      <c r="CC42" s="159"/>
      <c r="CD42" s="159"/>
      <c r="CE42" s="159"/>
      <c r="CF42" s="159"/>
      <c r="CG42" s="159"/>
      <c r="CI42" s="453">
        <f t="shared" si="79"/>
        <v>0</v>
      </c>
      <c r="CJ42" s="453">
        <f t="shared" si="80"/>
        <v>0</v>
      </c>
      <c r="CK42" s="453">
        <f t="shared" si="81"/>
        <v>0</v>
      </c>
      <c r="CL42" s="453">
        <f t="shared" si="82"/>
        <v>0</v>
      </c>
      <c r="CM42" s="453"/>
      <c r="CN42" s="453"/>
      <c r="CO42" s="453"/>
      <c r="CP42" s="453"/>
      <c r="CQ42" s="453"/>
      <c r="CR42" s="453"/>
      <c r="CT42" s="25"/>
      <c r="CU42" s="168"/>
      <c r="CV42" s="168"/>
      <c r="CW42" s="168"/>
      <c r="CX42" s="168"/>
      <c r="CY42" s="168"/>
      <c r="CZ42" s="168"/>
      <c r="DA42" s="168"/>
      <c r="DB42" s="168"/>
      <c r="DC42" s="168"/>
      <c r="DE42" s="20">
        <f t="shared" si="66"/>
        <v>0</v>
      </c>
      <c r="DF42" s="20">
        <f t="shared" si="67"/>
        <v>0</v>
      </c>
      <c r="DG42" s="20">
        <f t="shared" si="68"/>
        <v>0</v>
      </c>
      <c r="DH42" s="20">
        <f t="shared" si="69"/>
        <v>0</v>
      </c>
      <c r="DI42" s="20">
        <f t="shared" si="70"/>
        <v>0</v>
      </c>
      <c r="DJ42" s="20">
        <f t="shared" si="71"/>
        <v>0</v>
      </c>
      <c r="DK42" s="20">
        <f t="shared" si="72"/>
        <v>0</v>
      </c>
      <c r="DL42" s="20">
        <f t="shared" si="73"/>
        <v>0</v>
      </c>
      <c r="DM42" s="20">
        <f t="shared" si="74"/>
        <v>0</v>
      </c>
      <c r="DN42" s="20">
        <f t="shared" si="74"/>
        <v>0</v>
      </c>
      <c r="DP42" s="20"/>
      <c r="DQ42" s="20"/>
      <c r="DR42" s="20"/>
      <c r="DS42" s="20"/>
      <c r="DT42" s="20"/>
      <c r="DU42" s="20"/>
      <c r="DV42" s="20"/>
      <c r="DW42" s="20"/>
      <c r="DX42" s="20"/>
      <c r="DY42" s="20"/>
      <c r="EA42" s="20">
        <f t="shared" si="59"/>
        <v>0</v>
      </c>
      <c r="EB42" s="20">
        <f t="shared" si="29"/>
        <v>0</v>
      </c>
      <c r="EC42" s="20">
        <f t="shared" si="30"/>
        <v>0</v>
      </c>
      <c r="ED42" s="20">
        <f t="shared" si="31"/>
        <v>0</v>
      </c>
      <c r="EE42" s="20">
        <f t="shared" si="32"/>
        <v>0</v>
      </c>
      <c r="EF42" s="20">
        <f t="shared" si="33"/>
        <v>0</v>
      </c>
      <c r="EG42" s="20">
        <f t="shared" si="34"/>
        <v>0</v>
      </c>
      <c r="EH42" s="20">
        <f t="shared" si="35"/>
        <v>0</v>
      </c>
      <c r="EI42" s="20">
        <f t="shared" si="36"/>
        <v>0</v>
      </c>
      <c r="EJ42" s="20">
        <f t="shared" si="37"/>
        <v>0</v>
      </c>
      <c r="EL42" s="152"/>
      <c r="EM42" s="152"/>
      <c r="EN42" s="152"/>
      <c r="EO42" s="152"/>
      <c r="EP42" s="152"/>
      <c r="EQ42" s="152"/>
      <c r="ER42" s="152"/>
      <c r="ES42" s="152"/>
      <c r="ET42" s="152"/>
      <c r="EU42" s="152"/>
      <c r="EW42" s="154">
        <f t="shared" si="60"/>
        <v>0</v>
      </c>
      <c r="EX42" s="154">
        <f t="shared" si="39"/>
        <v>0</v>
      </c>
      <c r="EY42" s="154">
        <f t="shared" si="40"/>
        <v>0</v>
      </c>
      <c r="EZ42" s="154">
        <f t="shared" si="41"/>
        <v>0</v>
      </c>
      <c r="FA42" s="154">
        <f t="shared" si="42"/>
        <v>0</v>
      </c>
      <c r="FB42" s="154">
        <f t="shared" si="43"/>
        <v>0</v>
      </c>
      <c r="FC42" s="154">
        <f t="shared" si="44"/>
        <v>0</v>
      </c>
      <c r="FD42" s="154">
        <f t="shared" si="45"/>
        <v>0</v>
      </c>
      <c r="FE42" s="154">
        <f t="shared" si="46"/>
        <v>0</v>
      </c>
      <c r="FF42" s="154">
        <f t="shared" si="47"/>
        <v>0</v>
      </c>
      <c r="FH42" s="154"/>
      <c r="FI42" s="154"/>
      <c r="FJ42" s="127"/>
      <c r="FK42" s="127"/>
      <c r="FL42" s="127"/>
      <c r="FM42" s="127"/>
      <c r="FN42" s="127"/>
      <c r="FO42" s="127"/>
      <c r="FP42" s="127"/>
      <c r="FQ42" s="127"/>
      <c r="FS42" s="20">
        <f t="shared" si="61"/>
        <v>0</v>
      </c>
      <c r="FT42" s="20">
        <f t="shared" si="49"/>
        <v>0</v>
      </c>
      <c r="FU42" s="128">
        <f t="shared" si="50"/>
        <v>0</v>
      </c>
      <c r="FV42" s="128">
        <f t="shared" si="51"/>
        <v>0</v>
      </c>
      <c r="FW42" s="128">
        <f t="shared" si="52"/>
        <v>0</v>
      </c>
      <c r="FX42" s="128">
        <f t="shared" si="53"/>
        <v>0</v>
      </c>
      <c r="FY42" s="128">
        <f t="shared" si="54"/>
        <v>0</v>
      </c>
      <c r="FZ42" s="128">
        <f t="shared" si="55"/>
        <v>0</v>
      </c>
      <c r="GA42" s="128">
        <f t="shared" si="56"/>
        <v>0</v>
      </c>
      <c r="GB42" s="128">
        <f t="shared" si="57"/>
        <v>0</v>
      </c>
    </row>
    <row r="43" spans="2:184" ht="13.5">
      <c r="B43" s="103"/>
      <c r="C43" s="103"/>
      <c r="D43" s="103"/>
      <c r="E43" s="196"/>
      <c r="F43" s="197"/>
      <c r="G43" s="196"/>
      <c r="H43" s="103"/>
      <c r="J43" s="198"/>
      <c r="K43" s="198"/>
      <c r="L43" s="198"/>
      <c r="M43" s="198"/>
      <c r="N43" s="198"/>
      <c r="O43" s="198"/>
      <c r="P43" s="198"/>
      <c r="Q43" s="198"/>
      <c r="R43" s="198"/>
      <c r="S43" s="198"/>
      <c r="U43" s="198"/>
      <c r="V43" s="198"/>
      <c r="W43" s="198"/>
      <c r="X43" s="198"/>
      <c r="Y43" s="198"/>
      <c r="Z43" s="198"/>
      <c r="AA43" s="198"/>
      <c r="AB43" s="198"/>
      <c r="AC43" s="198"/>
      <c r="AD43" s="198"/>
      <c r="AF43" s="199"/>
      <c r="AG43" s="199"/>
      <c r="AH43" s="199"/>
      <c r="AI43" s="199"/>
      <c r="AJ43" s="199"/>
      <c r="AK43" s="199"/>
      <c r="AL43" s="199"/>
      <c r="AM43" s="199"/>
      <c r="AN43" s="199"/>
      <c r="AO43" s="199"/>
      <c r="AQ43" s="198"/>
      <c r="AR43" s="198"/>
      <c r="AS43" s="198"/>
      <c r="AT43" s="198"/>
      <c r="AU43" s="198"/>
      <c r="AV43" s="198"/>
      <c r="AW43" s="198"/>
      <c r="AX43" s="198"/>
      <c r="AY43" s="198"/>
      <c r="AZ43" s="198"/>
      <c r="BB43" s="198"/>
      <c r="BC43" s="198"/>
      <c r="BD43" s="198"/>
      <c r="BE43" s="198"/>
      <c r="BF43" s="198"/>
      <c r="BG43" s="198"/>
      <c r="BH43" s="198"/>
      <c r="BI43" s="198"/>
      <c r="BJ43" s="198"/>
      <c r="BK43" s="198"/>
      <c r="BM43" s="198">
        <f t="shared" ref="BM43" si="83">(J43*U43*AF43*AQ43*BB43)/1000</f>
        <v>0</v>
      </c>
      <c r="BN43" s="198">
        <f t="shared" si="75"/>
        <v>0</v>
      </c>
      <c r="BO43" s="198">
        <f t="shared" si="76"/>
        <v>0</v>
      </c>
      <c r="BP43" s="198">
        <f t="shared" si="77"/>
        <v>0</v>
      </c>
      <c r="BQ43" s="198">
        <f t="shared" si="78"/>
        <v>0</v>
      </c>
      <c r="BR43" s="198"/>
      <c r="BS43" s="198"/>
      <c r="BT43" s="198"/>
      <c r="BU43" s="198"/>
      <c r="BV43" s="198"/>
      <c r="BX43" s="200"/>
      <c r="BY43" s="200"/>
      <c r="BZ43" s="200"/>
      <c r="CA43" s="200"/>
      <c r="CB43" s="200"/>
      <c r="CC43" s="200"/>
      <c r="CD43" s="200"/>
      <c r="CE43" s="200"/>
      <c r="CF43" s="200"/>
      <c r="CG43" s="200"/>
      <c r="CI43" s="210">
        <f t="shared" si="79"/>
        <v>0</v>
      </c>
      <c r="CJ43" s="210">
        <f t="shared" si="80"/>
        <v>0</v>
      </c>
      <c r="CK43" s="210">
        <f t="shared" si="81"/>
        <v>0</v>
      </c>
      <c r="CL43" s="210">
        <f t="shared" si="82"/>
        <v>0</v>
      </c>
      <c r="CM43" s="210"/>
      <c r="CN43" s="210"/>
      <c r="CO43" s="210"/>
      <c r="CP43" s="210"/>
      <c r="CQ43" s="210"/>
      <c r="CR43" s="210"/>
      <c r="CT43" s="201"/>
      <c r="CU43" s="201"/>
      <c r="CV43" s="201"/>
      <c r="CW43" s="201"/>
      <c r="CX43" s="201"/>
      <c r="CY43" s="201"/>
      <c r="CZ43" s="201"/>
      <c r="DA43" s="201"/>
      <c r="DB43" s="201"/>
      <c r="DC43" s="201"/>
      <c r="DE43" s="202">
        <f t="shared" si="66"/>
        <v>0</v>
      </c>
      <c r="DF43" s="202">
        <f t="shared" si="67"/>
        <v>0</v>
      </c>
      <c r="DG43" s="202">
        <f t="shared" si="68"/>
        <v>0</v>
      </c>
      <c r="DH43" s="202">
        <f t="shared" si="69"/>
        <v>0</v>
      </c>
      <c r="DI43" s="202">
        <f t="shared" si="70"/>
        <v>0</v>
      </c>
      <c r="DJ43" s="202">
        <f t="shared" si="71"/>
        <v>0</v>
      </c>
      <c r="DK43" s="202">
        <f t="shared" si="72"/>
        <v>0</v>
      </c>
      <c r="DL43" s="202">
        <f t="shared" si="73"/>
        <v>0</v>
      </c>
      <c r="DM43" s="202">
        <f t="shared" si="74"/>
        <v>0</v>
      </c>
      <c r="DN43" s="202">
        <f t="shared" si="74"/>
        <v>0</v>
      </c>
      <c r="DP43" s="202"/>
      <c r="DQ43" s="202"/>
      <c r="DR43" s="202"/>
      <c r="DS43" s="202"/>
      <c r="DT43" s="202"/>
      <c r="DU43" s="202"/>
      <c r="DV43" s="202"/>
      <c r="DW43" s="202"/>
      <c r="DX43" s="202"/>
      <c r="DY43" s="202"/>
      <c r="EA43" s="202">
        <f t="shared" si="59"/>
        <v>0</v>
      </c>
      <c r="EB43" s="202">
        <f t="shared" si="29"/>
        <v>0</v>
      </c>
      <c r="EC43" s="202">
        <f t="shared" si="30"/>
        <v>0</v>
      </c>
      <c r="ED43" s="202">
        <f t="shared" si="31"/>
        <v>0</v>
      </c>
      <c r="EE43" s="202">
        <f t="shared" si="32"/>
        <v>0</v>
      </c>
      <c r="EF43" s="202">
        <f t="shared" si="33"/>
        <v>0</v>
      </c>
      <c r="EG43" s="202">
        <f t="shared" si="34"/>
        <v>0</v>
      </c>
      <c r="EH43" s="202">
        <f t="shared" si="35"/>
        <v>0</v>
      </c>
      <c r="EI43" s="202">
        <f t="shared" si="36"/>
        <v>0</v>
      </c>
      <c r="EJ43" s="202">
        <f t="shared" si="37"/>
        <v>0</v>
      </c>
      <c r="EL43" s="198"/>
      <c r="EM43" s="198"/>
      <c r="EN43" s="198"/>
      <c r="EO43" s="198"/>
      <c r="EP43" s="198"/>
      <c r="EQ43" s="198"/>
      <c r="ER43" s="198"/>
      <c r="ES43" s="198"/>
      <c r="ET43" s="198"/>
      <c r="EU43" s="198"/>
      <c r="EW43" s="154">
        <f t="shared" si="60"/>
        <v>0</v>
      </c>
      <c r="EX43" s="154">
        <f t="shared" si="39"/>
        <v>0</v>
      </c>
      <c r="EY43" s="154">
        <f t="shared" si="40"/>
        <v>0</v>
      </c>
      <c r="EZ43" s="154">
        <f t="shared" si="41"/>
        <v>0</v>
      </c>
      <c r="FA43" s="154">
        <f t="shared" si="42"/>
        <v>0</v>
      </c>
      <c r="FB43" s="154">
        <f t="shared" si="43"/>
        <v>0</v>
      </c>
      <c r="FC43" s="154">
        <f t="shared" si="44"/>
        <v>0</v>
      </c>
      <c r="FD43" s="154">
        <f t="shared" si="45"/>
        <v>0</v>
      </c>
      <c r="FE43" s="154">
        <f t="shared" si="46"/>
        <v>0</v>
      </c>
      <c r="FF43" s="154">
        <f t="shared" si="47"/>
        <v>0</v>
      </c>
      <c r="FH43" s="203"/>
      <c r="FI43" s="203"/>
      <c r="FJ43" s="203"/>
      <c r="FK43" s="203"/>
      <c r="FL43" s="203"/>
      <c r="FM43" s="203"/>
      <c r="FN43" s="203"/>
      <c r="FO43" s="203"/>
      <c r="FP43" s="203"/>
      <c r="FQ43" s="203"/>
      <c r="FS43" s="202">
        <f t="shared" si="61"/>
        <v>0</v>
      </c>
      <c r="FT43" s="202">
        <f t="shared" si="49"/>
        <v>0</v>
      </c>
      <c r="FU43" s="202">
        <f t="shared" si="50"/>
        <v>0</v>
      </c>
      <c r="FV43" s="202">
        <f t="shared" si="51"/>
        <v>0</v>
      </c>
      <c r="FW43" s="202">
        <f t="shared" si="52"/>
        <v>0</v>
      </c>
      <c r="FX43" s="202">
        <f t="shared" si="53"/>
        <v>0</v>
      </c>
      <c r="FY43" s="202">
        <f t="shared" si="54"/>
        <v>0</v>
      </c>
      <c r="FZ43" s="202">
        <f t="shared" si="55"/>
        <v>0</v>
      </c>
      <c r="GA43" s="202">
        <f t="shared" si="56"/>
        <v>0</v>
      </c>
      <c r="GB43" s="202">
        <f t="shared" si="57"/>
        <v>0</v>
      </c>
    </row>
    <row r="44" spans="2:184" ht="14.25" thickBot="1">
      <c r="B44" s="155" t="s">
        <v>76</v>
      </c>
      <c r="C44" s="155"/>
      <c r="D44" s="155"/>
      <c r="E44" s="126"/>
      <c r="F44" s="126"/>
      <c r="G44" s="126"/>
      <c r="H44" s="155"/>
      <c r="J44" s="155"/>
      <c r="K44" s="155"/>
      <c r="L44" s="155"/>
      <c r="M44" s="155"/>
      <c r="N44" s="155"/>
      <c r="O44" s="155"/>
      <c r="P44" s="155"/>
      <c r="Q44" s="155"/>
      <c r="R44" s="155"/>
      <c r="S44" s="155"/>
      <c r="U44" s="155"/>
      <c r="V44" s="155"/>
      <c r="W44" s="155"/>
      <c r="X44" s="155"/>
      <c r="Y44" s="155"/>
      <c r="Z44" s="155"/>
      <c r="AA44" s="155"/>
      <c r="AB44" s="155"/>
      <c r="AC44" s="155"/>
      <c r="AD44" s="155"/>
      <c r="AF44" s="155"/>
      <c r="AG44" s="155"/>
      <c r="AH44" s="155"/>
      <c r="AI44" s="155"/>
      <c r="AJ44" s="155"/>
      <c r="AK44" s="155"/>
      <c r="AL44" s="155"/>
      <c r="AM44" s="155"/>
      <c r="AN44" s="155"/>
      <c r="AO44" s="155"/>
      <c r="AQ44" s="155"/>
      <c r="AR44" s="155"/>
      <c r="AS44" s="155"/>
      <c r="AT44" s="155"/>
      <c r="AU44" s="155"/>
      <c r="AV44" s="155"/>
      <c r="AW44" s="155"/>
      <c r="AX44" s="155"/>
      <c r="AY44" s="155"/>
      <c r="AZ44" s="155"/>
      <c r="BB44" s="155"/>
      <c r="BC44" s="155"/>
      <c r="BD44" s="155"/>
      <c r="BE44" s="155"/>
      <c r="BF44" s="155"/>
      <c r="BG44" s="155"/>
      <c r="BH44" s="155"/>
      <c r="BI44" s="155"/>
      <c r="BJ44" s="155"/>
      <c r="BK44" s="155"/>
      <c r="BM44" s="156">
        <f t="shared" ref="BM44:BP44" si="84">SUM(BM8:BM43)</f>
        <v>0</v>
      </c>
      <c r="BN44" s="156">
        <f t="shared" si="84"/>
        <v>3975.6247566682359</v>
      </c>
      <c r="BO44" s="156">
        <f t="shared" si="84"/>
        <v>975</v>
      </c>
      <c r="BP44" s="156">
        <f t="shared" si="84"/>
        <v>292.5</v>
      </c>
      <c r="BQ44" s="156">
        <f>SUM(BQ8:BQ43)</f>
        <v>0</v>
      </c>
      <c r="BR44" s="156"/>
      <c r="BS44" s="156"/>
      <c r="BT44" s="156"/>
      <c r="BU44" s="156"/>
      <c r="BV44" s="156"/>
      <c r="BX44" s="24"/>
      <c r="BY44" s="24"/>
      <c r="BZ44" s="24"/>
      <c r="CA44" s="24"/>
      <c r="CB44" s="24"/>
      <c r="CC44" s="24"/>
      <c r="CD44" s="24"/>
      <c r="CE44" s="24"/>
      <c r="CF44" s="24"/>
      <c r="CG44" s="24"/>
      <c r="CI44" s="24">
        <f>SUM(CI$8:CI$43)</f>
        <v>0</v>
      </c>
      <c r="CJ44" s="24">
        <f t="shared" ref="CJ44:CR44" si="85">SUM(CJ$8:CJ$43)</f>
        <v>14756.290565787131</v>
      </c>
      <c r="CK44" s="24">
        <f t="shared" si="85"/>
        <v>4597.75</v>
      </c>
      <c r="CL44" s="24">
        <f t="shared" si="85"/>
        <v>1911.7047500000001</v>
      </c>
      <c r="CM44" s="24">
        <f t="shared" si="85"/>
        <v>0</v>
      </c>
      <c r="CN44" s="24">
        <f t="shared" si="85"/>
        <v>0</v>
      </c>
      <c r="CO44" s="24">
        <f t="shared" si="85"/>
        <v>0</v>
      </c>
      <c r="CP44" s="24">
        <f t="shared" si="85"/>
        <v>0</v>
      </c>
      <c r="CQ44" s="24">
        <f t="shared" si="85"/>
        <v>0</v>
      </c>
      <c r="CR44" s="24">
        <f t="shared" si="85"/>
        <v>0</v>
      </c>
      <c r="CT44" s="24"/>
      <c r="CU44" s="24"/>
      <c r="CV44" s="24"/>
      <c r="CW44" s="24"/>
      <c r="CX44" s="24"/>
      <c r="CY44" s="24"/>
      <c r="CZ44" s="24"/>
      <c r="DA44" s="24"/>
      <c r="DB44" s="24"/>
      <c r="DC44" s="24"/>
      <c r="DE44" s="24">
        <f>SUM(DE$8:DE$43)</f>
        <v>0</v>
      </c>
      <c r="DF44" s="24">
        <f t="shared" ref="DF44:DN44" si="86">SUM(DF$8:DF$43)</f>
        <v>-3988.2905657871311</v>
      </c>
      <c r="DG44" s="24">
        <f t="shared" si="86"/>
        <v>-719.55000000000007</v>
      </c>
      <c r="DH44" s="24">
        <f t="shared" si="86"/>
        <v>-222.34095000000002</v>
      </c>
      <c r="DI44" s="24">
        <f t="shared" si="86"/>
        <v>0</v>
      </c>
      <c r="DJ44" s="24">
        <f t="shared" si="86"/>
        <v>0</v>
      </c>
      <c r="DK44" s="24">
        <f t="shared" si="86"/>
        <v>0</v>
      </c>
      <c r="DL44" s="24">
        <f t="shared" si="86"/>
        <v>0</v>
      </c>
      <c r="DM44" s="24">
        <f t="shared" si="86"/>
        <v>0</v>
      </c>
      <c r="DN44" s="24">
        <f t="shared" si="86"/>
        <v>0</v>
      </c>
      <c r="DP44" s="24">
        <f>SUM(DP$8:DP$43)</f>
        <v>0</v>
      </c>
      <c r="DQ44" s="24">
        <f t="shared" ref="DQ44:DT44" si="87">SUM(DQ$8:DQ$43)</f>
        <v>0</v>
      </c>
      <c r="DR44" s="24">
        <f t="shared" si="87"/>
        <v>0</v>
      </c>
      <c r="DS44" s="24">
        <f t="shared" si="87"/>
        <v>0</v>
      </c>
      <c r="DT44" s="24">
        <f t="shared" si="87"/>
        <v>0</v>
      </c>
      <c r="DU44" s="24"/>
      <c r="DV44" s="24"/>
      <c r="DW44" s="24"/>
      <c r="DX44" s="24"/>
      <c r="DY44" s="24"/>
      <c r="EA44" s="24">
        <f>SUM(EA$8:EA$43)</f>
        <v>0</v>
      </c>
      <c r="EB44" s="24">
        <f t="shared" ref="EB44:EJ44" si="88">SUM(EB$8:EB$43)</f>
        <v>10768</v>
      </c>
      <c r="EC44" s="24">
        <f t="shared" si="88"/>
        <v>3878.2</v>
      </c>
      <c r="ED44" s="24">
        <f t="shared" si="88"/>
        <v>1689.3638000000001</v>
      </c>
      <c r="EE44" s="24">
        <f t="shared" si="88"/>
        <v>0</v>
      </c>
      <c r="EF44" s="24">
        <f t="shared" si="88"/>
        <v>0</v>
      </c>
      <c r="EG44" s="24">
        <f t="shared" si="88"/>
        <v>0</v>
      </c>
      <c r="EH44" s="24">
        <f t="shared" si="88"/>
        <v>0</v>
      </c>
      <c r="EI44" s="24">
        <f t="shared" si="88"/>
        <v>0</v>
      </c>
      <c r="EJ44" s="24">
        <f t="shared" si="88"/>
        <v>0</v>
      </c>
      <c r="EL44" s="156">
        <f>SUM(EL$8:EL$43)</f>
        <v>0</v>
      </c>
      <c r="EM44" s="156">
        <f t="shared" ref="EM44:EU44" si="89">SUM(EM$8:EM$43)</f>
        <v>0</v>
      </c>
      <c r="EN44" s="156">
        <f t="shared" si="89"/>
        <v>0</v>
      </c>
      <c r="EO44" s="156">
        <f t="shared" si="89"/>
        <v>0</v>
      </c>
      <c r="EP44" s="156">
        <f t="shared" si="89"/>
        <v>0</v>
      </c>
      <c r="EQ44" s="156">
        <f t="shared" si="89"/>
        <v>0</v>
      </c>
      <c r="ER44" s="156">
        <f t="shared" si="89"/>
        <v>0</v>
      </c>
      <c r="ES44" s="156">
        <f t="shared" si="89"/>
        <v>0</v>
      </c>
      <c r="ET44" s="156">
        <f t="shared" si="89"/>
        <v>0</v>
      </c>
      <c r="EU44" s="156">
        <f t="shared" si="89"/>
        <v>0</v>
      </c>
      <c r="EW44" s="156"/>
      <c r="EX44" s="156"/>
      <c r="EY44" s="156"/>
      <c r="EZ44" s="156"/>
      <c r="FA44" s="156"/>
      <c r="FB44" s="156"/>
      <c r="FC44" s="156"/>
      <c r="FD44" s="156"/>
      <c r="FE44" s="156"/>
      <c r="FF44" s="156"/>
      <c r="FH44" s="156"/>
      <c r="FI44" s="156"/>
      <c r="FJ44" s="156"/>
      <c r="FK44" s="156"/>
      <c r="FL44" s="156"/>
      <c r="FM44" s="156"/>
      <c r="FN44" s="156"/>
      <c r="FO44" s="156"/>
      <c r="FP44" s="156"/>
      <c r="FQ44" s="156"/>
      <c r="FS44" s="24">
        <f>SUM(FS$8:FS$43)</f>
        <v>0</v>
      </c>
      <c r="FT44" s="24">
        <f t="shared" ref="FT44:GB44" si="90">SUM(FT$8:FT$43)</f>
        <v>10366.000000000005</v>
      </c>
      <c r="FU44" s="24">
        <f t="shared" si="90"/>
        <v>3322.11</v>
      </c>
      <c r="FV44" s="24">
        <f t="shared" si="90"/>
        <v>1022.6401440000001</v>
      </c>
      <c r="FW44" s="24">
        <f t="shared" si="90"/>
        <v>0</v>
      </c>
      <c r="FX44" s="24">
        <f t="shared" si="90"/>
        <v>0</v>
      </c>
      <c r="FY44" s="24">
        <f t="shared" si="90"/>
        <v>0</v>
      </c>
      <c r="FZ44" s="24">
        <f t="shared" si="90"/>
        <v>0</v>
      </c>
      <c r="GA44" s="24">
        <f t="shared" si="90"/>
        <v>0</v>
      </c>
      <c r="GB44" s="24">
        <f t="shared" si="90"/>
        <v>0</v>
      </c>
    </row>
    <row r="45" spans="2:184" ht="13.5"/>
    <row r="46" spans="2:184" ht="13.5">
      <c r="EA46" s="133"/>
      <c r="EB46" s="133">
        <f>EB44-'TUC  North America'!D38</f>
        <v>0</v>
      </c>
      <c r="EC46" s="133">
        <f>EC44-'TUC  North America'!E38</f>
        <v>0</v>
      </c>
      <c r="ED46" s="133">
        <f>ED44-'TUC  North America'!F38</f>
        <v>0</v>
      </c>
      <c r="EE46" s="133">
        <f>EE44-'TUC  North America'!G38</f>
        <v>0</v>
      </c>
      <c r="EF46" s="133">
        <f>EF44-'TUC  North America'!H38</f>
        <v>0</v>
      </c>
      <c r="EG46" s="133">
        <f>EG44-'TUC  North America'!I38</f>
        <v>0</v>
      </c>
      <c r="EH46" s="133">
        <f>EH44-'TUC  North America'!J38</f>
        <v>0</v>
      </c>
      <c r="EI46" s="133">
        <f>EI44-'TUC  North America'!K38</f>
        <v>0</v>
      </c>
      <c r="EJ46" s="133">
        <f>EJ44-'TUC  North America'!L38</f>
        <v>0</v>
      </c>
      <c r="EP46" s="216"/>
      <c r="FT46" s="133">
        <f>FT44-'TUC  North America'!D41</f>
        <v>0</v>
      </c>
      <c r="FU46" s="133">
        <f>FU44-'TUC  North America'!E41</f>
        <v>0</v>
      </c>
      <c r="FV46" s="133">
        <f>FV44-'TUC  North America'!F41</f>
        <v>0</v>
      </c>
      <c r="FW46" s="133">
        <f>FW44-'TUC  North America'!G41</f>
        <v>0</v>
      </c>
      <c r="FX46" s="133">
        <f>FX44-'TUC  North America'!H41</f>
        <v>0</v>
      </c>
      <c r="FY46" s="133">
        <f>FY44-'TUC  North America'!I41</f>
        <v>0</v>
      </c>
      <c r="FZ46" s="133">
        <f>FZ44-'TUC  North America'!J41</f>
        <v>0</v>
      </c>
      <c r="GA46" s="133">
        <f>GA44-'TUC  North America'!K41</f>
        <v>0</v>
      </c>
      <c r="GB46" s="133">
        <f>GB44-'TUC  North America'!L41</f>
        <v>0</v>
      </c>
    </row>
    <row r="47" spans="2:184" ht="13.5">
      <c r="EA47" s="129"/>
      <c r="EB47" s="129"/>
      <c r="EC47" s="129"/>
      <c r="ED47" s="129"/>
      <c r="EE47" s="129"/>
      <c r="EF47" s="129"/>
      <c r="EG47" s="129"/>
      <c r="EH47" s="129"/>
      <c r="EI47" s="129"/>
      <c r="EJ47" s="129"/>
    </row>
    <row r="48" spans="2:184" ht="13.5">
      <c r="BX48" s="129"/>
      <c r="BY48" s="129"/>
      <c r="BZ48" s="129"/>
      <c r="CA48" s="129"/>
      <c r="CB48" s="129"/>
      <c r="CC48" s="129"/>
      <c r="CD48" s="129"/>
      <c r="CE48" s="129"/>
      <c r="CF48" s="129"/>
      <c r="CG48" s="129"/>
      <c r="CI48" s="129"/>
      <c r="CJ48" s="129"/>
      <c r="CK48" s="129"/>
      <c r="CL48" s="129"/>
      <c r="CM48" s="129"/>
      <c r="CN48" s="129"/>
      <c r="CO48" s="129"/>
      <c r="CP48" s="129"/>
      <c r="CQ48" s="129"/>
      <c r="CR48" s="129"/>
    </row>
    <row r="49" spans="76:140" ht="14.25" thickBot="1">
      <c r="BX49" s="129"/>
      <c r="BY49" s="129"/>
      <c r="BZ49" s="129"/>
      <c r="CA49" s="129"/>
      <c r="CB49" s="129"/>
      <c r="CC49" s="129"/>
      <c r="CD49" s="129"/>
      <c r="CE49" s="129"/>
      <c r="CF49" s="129"/>
      <c r="CG49" s="129"/>
      <c r="CI49" s="24">
        <v>22311.67</v>
      </c>
      <c r="CJ49" s="24">
        <v>42345.930999999997</v>
      </c>
      <c r="CK49" s="24">
        <v>83347.031473420007</v>
      </c>
      <c r="CL49" s="24">
        <v>102217.40866521202</v>
      </c>
      <c r="CM49" s="24">
        <v>0</v>
      </c>
      <c r="CN49" s="24"/>
      <c r="CO49" s="24"/>
      <c r="CP49" s="24"/>
      <c r="CQ49" s="24"/>
      <c r="CR49" s="24"/>
      <c r="DE49" s="24">
        <v>-6047.2440000000006</v>
      </c>
      <c r="DF49" s="24">
        <v>-15047.482387332504</v>
      </c>
      <c r="DG49" s="24">
        <v>-29872.683282228598</v>
      </c>
      <c r="DH49" s="24">
        <v>-47648.673031563594</v>
      </c>
      <c r="DI49" s="24">
        <v>0</v>
      </c>
      <c r="DJ49" s="24"/>
      <c r="DK49" s="24"/>
      <c r="DL49" s="24"/>
      <c r="DM49" s="24"/>
      <c r="DN49" s="24"/>
      <c r="DP49" s="24">
        <v>-966.56500000000005</v>
      </c>
      <c r="DQ49" s="24">
        <v>-1900</v>
      </c>
      <c r="DR49" s="24">
        <v>-2100</v>
      </c>
      <c r="DS49" s="24">
        <v>-2100</v>
      </c>
      <c r="DT49" s="24">
        <v>0</v>
      </c>
      <c r="DU49" s="24"/>
      <c r="DV49" s="24"/>
      <c r="DW49" s="24"/>
      <c r="DX49" s="24"/>
      <c r="DY49" s="24"/>
      <c r="EA49" s="24">
        <v>15297.861000000001</v>
      </c>
      <c r="EB49" s="24">
        <v>25398.448612667504</v>
      </c>
      <c r="EC49" s="24">
        <v>51374.348191191413</v>
      </c>
      <c r="ED49" s="24">
        <v>52468.735633648408</v>
      </c>
      <c r="EE49" s="24">
        <v>0</v>
      </c>
      <c r="EF49" s="24"/>
      <c r="EG49" s="24"/>
      <c r="EH49" s="24"/>
      <c r="EI49" s="24"/>
      <c r="EJ49" s="24"/>
    </row>
    <row r="50" spans="76:140" ht="13.5">
      <c r="BX50" s="129"/>
      <c r="BY50" s="129"/>
      <c r="BZ50" s="129"/>
      <c r="CA50" s="129"/>
      <c r="CB50" s="129"/>
      <c r="CC50" s="129"/>
      <c r="CD50" s="129"/>
      <c r="CE50" s="129"/>
      <c r="CF50" s="129"/>
      <c r="CG50" s="129"/>
      <c r="CI50" s="133">
        <f>+CI49-CI44</f>
        <v>22311.67</v>
      </c>
      <c r="CJ50" s="133">
        <f>+CJ49-CJ44</f>
        <v>27589.640434212866</v>
      </c>
      <c r="CK50" s="133">
        <f>+CK49-CK44</f>
        <v>78749.281473420007</v>
      </c>
      <c r="CL50" s="133">
        <f>+CL49-CL44</f>
        <v>100305.70391521201</v>
      </c>
      <c r="CM50" s="133">
        <f>+CM49-CM44</f>
        <v>0</v>
      </c>
      <c r="CN50" s="133"/>
      <c r="CO50" s="133"/>
      <c r="CP50" s="133"/>
      <c r="CQ50" s="133"/>
      <c r="CR50" s="133"/>
      <c r="DE50" s="133">
        <f>+DE49-DE44</f>
        <v>-6047.2440000000006</v>
      </c>
      <c r="DF50" s="133">
        <f>+DF49-DF44</f>
        <v>-11059.191821545373</v>
      </c>
      <c r="DG50" s="133">
        <f>+DG49-DG44</f>
        <v>-29153.133282228599</v>
      </c>
      <c r="DH50" s="133">
        <f>+DH49-DH44</f>
        <v>-47426.332081563596</v>
      </c>
      <c r="DI50" s="133">
        <f>+DI49-DI44</f>
        <v>0</v>
      </c>
      <c r="DJ50" s="133"/>
      <c r="DK50" s="133"/>
      <c r="DL50" s="133"/>
      <c r="DM50" s="133"/>
      <c r="DN50" s="133"/>
      <c r="DP50" s="133">
        <f>+DP49-DP44</f>
        <v>-966.56500000000005</v>
      </c>
      <c r="DQ50" s="133">
        <f>+DQ49-DQ44</f>
        <v>-1900</v>
      </c>
      <c r="DR50" s="133">
        <f>+DR49-DR44</f>
        <v>-2100</v>
      </c>
      <c r="DS50" s="133">
        <f>+DS49-DS44</f>
        <v>-2100</v>
      </c>
      <c r="DT50" s="133">
        <f>+DT49-DT44</f>
        <v>0</v>
      </c>
      <c r="DU50" s="133"/>
      <c r="DV50" s="133"/>
      <c r="DW50" s="133"/>
      <c r="DX50" s="133"/>
      <c r="DY50" s="133"/>
      <c r="EA50" s="133">
        <f>+EA49-EA44</f>
        <v>15297.861000000001</v>
      </c>
      <c r="EB50" s="133">
        <f>+EB49-EB44</f>
        <v>14630.448612667504</v>
      </c>
      <c r="EC50" s="133">
        <f>+EC49-EC44</f>
        <v>47496.148191191416</v>
      </c>
      <c r="ED50" s="133">
        <f>+ED49-ED44</f>
        <v>50779.371833648409</v>
      </c>
      <c r="EE50" s="133">
        <f>+EE49-EE44</f>
        <v>0</v>
      </c>
      <c r="EF50" s="133"/>
      <c r="EG50" s="133"/>
      <c r="EH50" s="133"/>
      <c r="EI50" s="133"/>
      <c r="EJ50" s="133"/>
    </row>
    <row r="51" spans="76:140" ht="13.5">
      <c r="BX51" s="129"/>
      <c r="BY51" s="129"/>
      <c r="BZ51" s="129"/>
      <c r="CA51" s="129"/>
      <c r="CB51" s="129"/>
      <c r="CC51" s="129"/>
      <c r="CD51" s="129"/>
      <c r="CE51" s="129"/>
      <c r="CF51" s="129"/>
      <c r="CG51" s="129"/>
      <c r="CI51" s="133"/>
      <c r="CJ51" s="133"/>
      <c r="CK51" s="133"/>
      <c r="CL51" s="133"/>
      <c r="CM51" s="133"/>
      <c r="CN51" s="133"/>
      <c r="CO51" s="133"/>
      <c r="CP51" s="133"/>
      <c r="CQ51" s="133"/>
      <c r="CR51" s="133"/>
      <c r="DE51" s="133"/>
      <c r="DF51" s="133"/>
      <c r="DG51" s="133"/>
      <c r="DH51" s="133"/>
      <c r="DI51" s="133"/>
      <c r="DJ51" s="133"/>
      <c r="DK51" s="133"/>
      <c r="DL51" s="133"/>
      <c r="DM51" s="133"/>
      <c r="DN51" s="133"/>
      <c r="DP51" s="133"/>
      <c r="DQ51" s="133"/>
      <c r="DR51" s="133"/>
      <c r="DS51" s="133"/>
      <c r="DT51" s="133"/>
      <c r="DU51" s="133"/>
      <c r="DV51" s="133"/>
      <c r="DW51" s="133"/>
      <c r="DX51" s="133"/>
      <c r="DY51" s="133"/>
      <c r="EA51" s="133"/>
      <c r="EB51" s="133"/>
      <c r="EC51" s="133"/>
      <c r="ED51" s="133"/>
      <c r="EE51" s="133"/>
      <c r="EF51" s="133"/>
      <c r="EG51" s="133"/>
      <c r="EH51" s="133"/>
      <c r="EI51" s="133"/>
      <c r="EJ51" s="133"/>
    </row>
    <row r="52" spans="76:140" ht="13.5">
      <c r="BX52" s="129"/>
      <c r="BY52" s="129"/>
      <c r="BZ52" s="129"/>
      <c r="CA52" s="129"/>
      <c r="CB52" s="129"/>
      <c r="CC52" s="129"/>
      <c r="CD52" s="129"/>
      <c r="CE52" s="129"/>
      <c r="CF52" s="129"/>
      <c r="CG52" s="129"/>
      <c r="CI52" s="169">
        <f>EA44</f>
        <v>0</v>
      </c>
      <c r="CJ52" s="169">
        <f>EB44</f>
        <v>10768</v>
      </c>
      <c r="CK52" s="169">
        <f>EC44</f>
        <v>3878.2</v>
      </c>
      <c r="CL52" s="169">
        <f>ED44</f>
        <v>1689.3638000000001</v>
      </c>
      <c r="CM52" s="169">
        <f>EE44</f>
        <v>0</v>
      </c>
      <c r="CN52" s="169"/>
      <c r="CO52" s="169"/>
      <c r="CP52" s="169"/>
      <c r="CQ52" s="169"/>
      <c r="CR52" s="169"/>
    </row>
    <row r="53" spans="76:140" ht="13.5">
      <c r="BX53" s="129"/>
      <c r="BY53" s="129"/>
      <c r="BZ53" s="129"/>
      <c r="CA53" s="129"/>
      <c r="CB53" s="129"/>
      <c r="CC53" s="129"/>
      <c r="CD53" s="129"/>
      <c r="CE53" s="129"/>
      <c r="CF53" s="129"/>
      <c r="CG53" s="129"/>
      <c r="CI53" s="169">
        <f>EA50</f>
        <v>15297.861000000001</v>
      </c>
      <c r="CJ53" s="169">
        <f t="shared" ref="CJ53:CM53" si="91">EB50</f>
        <v>14630.448612667504</v>
      </c>
      <c r="CK53" s="169">
        <f t="shared" si="91"/>
        <v>47496.148191191416</v>
      </c>
      <c r="CL53" s="169">
        <f t="shared" si="91"/>
        <v>50779.371833648409</v>
      </c>
      <c r="CM53" s="169">
        <f t="shared" si="91"/>
        <v>0</v>
      </c>
      <c r="CN53" s="169"/>
      <c r="CO53" s="169"/>
      <c r="CP53" s="169"/>
      <c r="CQ53" s="169"/>
      <c r="CR53" s="169"/>
    </row>
    <row r="54" spans="76:140" ht="13.5">
      <c r="BX54" s="129"/>
      <c r="BY54" s="129"/>
      <c r="BZ54" s="129"/>
      <c r="CA54" s="129"/>
      <c r="CB54" s="129"/>
      <c r="CC54" s="129"/>
      <c r="CD54" s="129"/>
      <c r="CE54" s="129"/>
      <c r="CF54" s="129"/>
      <c r="CG54" s="129"/>
      <c r="CI54" s="129"/>
      <c r="CJ54" s="129"/>
      <c r="CK54" s="129"/>
      <c r="CL54" s="129"/>
      <c r="CM54" s="129"/>
      <c r="CN54" s="129"/>
      <c r="CO54" s="129"/>
      <c r="CP54" s="129"/>
      <c r="CQ54" s="129"/>
      <c r="CR54" s="129"/>
    </row>
    <row r="55" spans="76:140" ht="13.5">
      <c r="BX55" s="129"/>
      <c r="BY55" s="129"/>
      <c r="BZ55" s="129"/>
      <c r="CA55" s="129"/>
      <c r="CB55" s="129"/>
      <c r="CC55" s="129"/>
      <c r="CD55" s="129"/>
      <c r="CE55" s="129"/>
      <c r="CF55" s="129"/>
      <c r="CG55" s="129"/>
      <c r="CI55" s="129"/>
      <c r="CJ55" s="129"/>
      <c r="CK55" s="129">
        <f>CK52-CJ52</f>
        <v>-6889.8</v>
      </c>
      <c r="CL55" s="129">
        <f>CL52-CK52</f>
        <v>-2188.8361999999997</v>
      </c>
      <c r="CM55" s="129">
        <f>CM52-CL52</f>
        <v>-1689.3638000000001</v>
      </c>
      <c r="CN55" s="129"/>
      <c r="CO55" s="129"/>
      <c r="CP55" s="129"/>
      <c r="CQ55" s="129"/>
      <c r="CR55" s="129"/>
    </row>
    <row r="56" spans="76:140" ht="13.5">
      <c r="BX56" s="129"/>
      <c r="BY56" s="129"/>
      <c r="BZ56" s="129"/>
      <c r="CA56" s="129"/>
      <c r="CB56" s="129"/>
      <c r="CC56" s="129"/>
      <c r="CD56" s="129"/>
      <c r="CE56" s="129"/>
      <c r="CF56" s="129"/>
      <c r="CG56" s="129"/>
      <c r="CI56" s="129"/>
      <c r="CJ56" s="129"/>
      <c r="CK56" s="129">
        <f>CK55/CJ52</f>
        <v>-0.63984026745913825</v>
      </c>
      <c r="CL56" s="129">
        <f>CL55/CK52</f>
        <v>-0.56439487391057708</v>
      </c>
      <c r="CM56" s="129">
        <f>CM55/CL52</f>
        <v>-1</v>
      </c>
      <c r="CN56" s="129"/>
      <c r="CO56" s="129"/>
      <c r="CP56" s="129"/>
      <c r="CQ56" s="129"/>
      <c r="CR56" s="129"/>
    </row>
    <row r="57" spans="76:140" ht="13.5">
      <c r="BX57" s="129"/>
      <c r="BY57" s="129"/>
      <c r="BZ57" s="129"/>
      <c r="CA57" s="129"/>
      <c r="CB57" s="129"/>
      <c r="CC57" s="129"/>
      <c r="CD57" s="129"/>
      <c r="CE57" s="129"/>
      <c r="CF57" s="129"/>
      <c r="CG57" s="129"/>
      <c r="CI57" s="129"/>
      <c r="CJ57" s="129"/>
      <c r="CK57" s="129"/>
      <c r="CL57" s="129"/>
      <c r="CM57" s="129"/>
      <c r="CN57" s="129"/>
      <c r="CO57" s="129"/>
      <c r="CP57" s="129"/>
      <c r="CQ57" s="129"/>
      <c r="CR57" s="129"/>
    </row>
    <row r="58" spans="76:140" ht="13.5">
      <c r="BX58" s="129"/>
      <c r="BY58" s="129"/>
      <c r="BZ58" s="129"/>
      <c r="CA58" s="129"/>
      <c r="CB58" s="129"/>
      <c r="CC58" s="129"/>
      <c r="CD58" s="129"/>
      <c r="CE58" s="129"/>
      <c r="CF58" s="129"/>
      <c r="CG58" s="129"/>
      <c r="CI58" s="129"/>
      <c r="CJ58" s="129"/>
      <c r="CK58" s="129"/>
      <c r="CL58" s="129"/>
      <c r="CM58" s="129"/>
      <c r="CN58" s="129"/>
      <c r="CO58" s="129"/>
      <c r="CP58" s="129"/>
      <c r="CQ58" s="129"/>
      <c r="CR58" s="129"/>
    </row>
    <row r="59" spans="76:140" ht="13.5">
      <c r="BX59" s="129"/>
      <c r="BY59" s="129"/>
      <c r="BZ59" s="129"/>
      <c r="CA59" s="129"/>
      <c r="CB59" s="129"/>
      <c r="CC59" s="129"/>
      <c r="CD59" s="129"/>
      <c r="CE59" s="129"/>
      <c r="CF59" s="129"/>
      <c r="CG59" s="129"/>
      <c r="CI59" s="129"/>
      <c r="CJ59" s="129"/>
      <c r="CK59" s="129"/>
      <c r="CL59" s="129"/>
      <c r="CM59" s="129"/>
      <c r="CN59" s="129"/>
      <c r="CO59" s="129"/>
      <c r="CP59" s="129"/>
      <c r="CQ59" s="129"/>
      <c r="CR59" s="129"/>
    </row>
  </sheetData>
  <conditionalFormatting sqref="EW8:FF12 EW15:FF43">
    <cfRule type="colorScale" priority="21">
      <colorScale>
        <cfvo type="min"/>
        <cfvo type="percentile" val="50"/>
        <cfvo type="max"/>
        <color rgb="FFF4FAF6"/>
        <color rgb="FFFFF4BD"/>
        <color rgb="FFFDCFD0"/>
      </colorScale>
    </cfRule>
  </conditionalFormatting>
  <conditionalFormatting sqref="EW13:FF13">
    <cfRule type="colorScale" priority="2">
      <colorScale>
        <cfvo type="min"/>
        <cfvo type="percentile" val="50"/>
        <cfvo type="max"/>
        <color rgb="FFF4FAF6"/>
        <color rgb="FFFFF4BD"/>
        <color rgb="FFFDCFD0"/>
      </colorScale>
    </cfRule>
  </conditionalFormatting>
  <conditionalFormatting sqref="EW14:FF14">
    <cfRule type="colorScale" priority="1">
      <colorScale>
        <cfvo type="min"/>
        <cfvo type="percentile" val="50"/>
        <cfvo type="max"/>
        <color rgb="FFF4FAF6"/>
        <color rgb="FFFFF4BD"/>
        <color rgb="FFFDCFD0"/>
      </colorScale>
    </cfRule>
  </conditionalFormatting>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84810-57B3-415C-B752-FE9CC1908884}">
  <sheetPr>
    <tabColor theme="6"/>
    <pageSetUpPr fitToPage="1"/>
  </sheetPr>
  <dimension ref="A1:Q67"/>
  <sheetViews>
    <sheetView workbookViewId="0"/>
  </sheetViews>
  <sheetFormatPr defaultColWidth="8.5546875" defaultRowHeight="0" customHeight="1" zeroHeight="1" outlineLevelRow="1"/>
  <cols>
    <col min="1" max="1" width="1.5546875" style="8" customWidth="1"/>
    <col min="2" max="2" width="21.44140625" style="8" bestFit="1" customWidth="1"/>
    <col min="3" max="3" width="21.44140625" style="8" customWidth="1"/>
    <col min="4" max="4" width="10.5546875" style="8" hidden="1" customWidth="1"/>
    <col min="5" max="5" width="10.5546875" style="8" bestFit="1" customWidth="1"/>
    <col min="6" max="7" width="10.44140625" style="8" bestFit="1" customWidth="1"/>
    <col min="8" max="13" width="10" style="8" bestFit="1" customWidth="1"/>
    <col min="14" max="14" width="1.5546875" style="8" customWidth="1"/>
    <col min="15" max="18" width="8.5546875" style="8" customWidth="1"/>
    <col min="19" max="16384" width="8.5546875" style="8"/>
  </cols>
  <sheetData>
    <row r="1" spans="1:17" ht="70.5" customHeight="1">
      <c r="A1" s="452"/>
      <c r="B1" s="10" t="s">
        <v>73</v>
      </c>
      <c r="C1" s="10"/>
      <c r="D1" s="11"/>
      <c r="E1" s="11"/>
      <c r="F1" s="11"/>
      <c r="G1" s="11"/>
      <c r="H1" s="11"/>
      <c r="I1" s="11"/>
      <c r="J1" s="11"/>
      <c r="K1" s="11"/>
      <c r="L1" s="11"/>
      <c r="M1" s="11"/>
      <c r="N1" s="11"/>
      <c r="O1" s="11"/>
      <c r="P1" s="11"/>
      <c r="Q1" s="11"/>
    </row>
    <row r="2" spans="1:17" ht="13.5"/>
    <row r="3" spans="1:17" ht="13.5">
      <c r="B3" s="12" t="s">
        <v>64</v>
      </c>
      <c r="C3" s="12"/>
      <c r="D3" s="13">
        <v>2022</v>
      </c>
      <c r="E3" s="13">
        <f>D3+1</f>
        <v>2023</v>
      </c>
      <c r="F3" s="13">
        <f t="shared" ref="F3:M3" si="0">E3+1</f>
        <v>2024</v>
      </c>
      <c r="G3" s="13">
        <f t="shared" si="0"/>
        <v>2025</v>
      </c>
      <c r="H3" s="13">
        <f t="shared" si="0"/>
        <v>2026</v>
      </c>
      <c r="I3" s="13">
        <f t="shared" si="0"/>
        <v>2027</v>
      </c>
      <c r="J3" s="13">
        <f t="shared" si="0"/>
        <v>2028</v>
      </c>
      <c r="K3" s="13">
        <f t="shared" si="0"/>
        <v>2029</v>
      </c>
      <c r="L3" s="13">
        <f t="shared" si="0"/>
        <v>2030</v>
      </c>
      <c r="M3" s="13">
        <f t="shared" si="0"/>
        <v>2031</v>
      </c>
    </row>
    <row r="4" spans="1:17" ht="3.75" customHeight="1">
      <c r="B4" s="100"/>
      <c r="C4" s="100"/>
    </row>
    <row r="5" spans="1:17" ht="13.5" outlineLevel="1">
      <c r="B5" s="108" t="s">
        <v>168</v>
      </c>
      <c r="C5" s="108" t="s">
        <v>136</v>
      </c>
      <c r="D5" s="109"/>
      <c r="E5" s="109"/>
      <c r="F5" s="109"/>
      <c r="G5" s="109"/>
      <c r="H5" s="109"/>
      <c r="I5" s="109"/>
      <c r="J5" s="109"/>
      <c r="K5" s="109"/>
      <c r="L5" s="109"/>
      <c r="M5" s="109"/>
    </row>
    <row r="6" spans="1:17" ht="13.5" outlineLevel="1">
      <c r="B6" s="19" t="s">
        <v>169</v>
      </c>
      <c r="C6" s="19" t="s">
        <v>121</v>
      </c>
      <c r="D6" s="152">
        <f>SUMIFS('TUC Intl High Level Sales Plan'!BM:BM,'TUC Intl High Level Sales Plan'!$C:$C,'TUC International'!$B6,'TUC Intl High Level Sales Plan'!$D:$D,'TUC International'!$C6)</f>
        <v>0</v>
      </c>
      <c r="E6" s="152">
        <f>'TUC Intl High Level Sales Plan'!BN8</f>
        <v>0</v>
      </c>
      <c r="F6" s="152">
        <f>'TUC Intl High Level Sales Plan'!BO8</f>
        <v>0</v>
      </c>
      <c r="G6" s="152">
        <f>'TUC Intl High Level Sales Plan'!BP8</f>
        <v>0</v>
      </c>
      <c r="H6" s="152">
        <f>'TUC Intl High Level Sales Plan'!BQ8</f>
        <v>0</v>
      </c>
      <c r="I6" s="152">
        <f>'TUC Intl High Level Sales Plan'!BR8</f>
        <v>0</v>
      </c>
      <c r="J6" s="152">
        <f>'TUC Intl High Level Sales Plan'!BS8</f>
        <v>0</v>
      </c>
      <c r="K6" s="152">
        <f>'TUC Intl High Level Sales Plan'!BT8</f>
        <v>0</v>
      </c>
      <c r="L6" s="152">
        <f>'TUC Intl High Level Sales Plan'!BU8</f>
        <v>0</v>
      </c>
      <c r="M6" s="152">
        <f>'TUC Intl High Level Sales Plan'!BV8</f>
        <v>0</v>
      </c>
    </row>
    <row r="7" spans="1:17" ht="13.5" outlineLevel="1">
      <c r="B7" s="19" t="s">
        <v>169</v>
      </c>
      <c r="C7" s="19" t="s">
        <v>129</v>
      </c>
      <c r="D7" s="152">
        <f>SUMIFS('TUC Intl High Level Sales Plan'!BM:BM,'TUC Intl High Level Sales Plan'!$C:$C,'TUC International'!$B7,'TUC Intl High Level Sales Plan'!$D:$D,'TUC International'!$C7)</f>
        <v>0</v>
      </c>
      <c r="E7" s="152">
        <f>'TUC Intl High Level Sales Plan'!BN9</f>
        <v>0</v>
      </c>
      <c r="F7" s="152">
        <f>'TUC Intl High Level Sales Plan'!BO9</f>
        <v>0</v>
      </c>
      <c r="G7" s="152">
        <f>'TUC Intl High Level Sales Plan'!BP9</f>
        <v>0</v>
      </c>
      <c r="H7" s="152">
        <f>'TUC Intl High Level Sales Plan'!BQ9</f>
        <v>0</v>
      </c>
      <c r="I7" s="152">
        <f>'TUC Intl High Level Sales Plan'!BR9</f>
        <v>0</v>
      </c>
      <c r="J7" s="152">
        <f>'TUC Intl High Level Sales Plan'!BS9</f>
        <v>0</v>
      </c>
      <c r="K7" s="152">
        <f>'TUC Intl High Level Sales Plan'!BT9</f>
        <v>0</v>
      </c>
      <c r="L7" s="152">
        <f>'TUC Intl High Level Sales Plan'!BU9</f>
        <v>0</v>
      </c>
      <c r="M7" s="152">
        <f>'TUC Intl High Level Sales Plan'!BV9</f>
        <v>0</v>
      </c>
    </row>
    <row r="8" spans="1:17" ht="13.5" outlineLevel="1">
      <c r="B8" s="19" t="s">
        <v>169</v>
      </c>
      <c r="C8" s="19" t="s">
        <v>167</v>
      </c>
      <c r="D8" s="152">
        <f>SUMIFS('TUC Intl High Level Sales Plan'!BM:BM,'TUC Intl High Level Sales Plan'!$C:$C,'TUC International'!$B8,'TUC Intl High Level Sales Plan'!$D:$D,'TUC International'!$C8)</f>
        <v>0</v>
      </c>
      <c r="E8" s="152">
        <f>'TUC Intl High Level Sales Plan'!BN10</f>
        <v>0</v>
      </c>
      <c r="F8" s="152">
        <f>'TUC Intl High Level Sales Plan'!BO10</f>
        <v>0</v>
      </c>
      <c r="G8" s="152">
        <f>'TUC Intl High Level Sales Plan'!BP10</f>
        <v>0</v>
      </c>
      <c r="H8" s="152">
        <f>'TUC Intl High Level Sales Plan'!BQ10</f>
        <v>0</v>
      </c>
      <c r="I8" s="152">
        <f>'TUC Intl High Level Sales Plan'!BR10</f>
        <v>0</v>
      </c>
      <c r="J8" s="152">
        <f>'TUC Intl High Level Sales Plan'!BS10</f>
        <v>0</v>
      </c>
      <c r="K8" s="152">
        <f>'TUC Intl High Level Sales Plan'!BT10</f>
        <v>0</v>
      </c>
      <c r="L8" s="152">
        <f>'TUC Intl High Level Sales Plan'!BU10</f>
        <v>0</v>
      </c>
      <c r="M8" s="152">
        <f>'TUC Intl High Level Sales Plan'!BV10</f>
        <v>0</v>
      </c>
    </row>
    <row r="9" spans="1:17" ht="13.5" outlineLevel="1">
      <c r="B9" s="19" t="s">
        <v>169</v>
      </c>
      <c r="C9" s="19" t="s">
        <v>170</v>
      </c>
      <c r="D9" s="152">
        <f>SUMIFS('TUC Intl High Level Sales Plan'!BM:BM,'TUC Intl High Level Sales Plan'!$C:$C,'TUC International'!$B9,'TUC Intl High Level Sales Plan'!$D:$D,'TUC International'!$C9)</f>
        <v>0</v>
      </c>
      <c r="E9" s="152">
        <f>'TUC Intl High Level Sales Plan'!BN11</f>
        <v>0</v>
      </c>
      <c r="F9" s="152">
        <f>'TUC Intl High Level Sales Plan'!BO11</f>
        <v>0</v>
      </c>
      <c r="G9" s="152">
        <f>'TUC Intl High Level Sales Plan'!BP11</f>
        <v>0</v>
      </c>
      <c r="H9" s="152">
        <f>'TUC Intl High Level Sales Plan'!BQ11</f>
        <v>0</v>
      </c>
      <c r="I9" s="152">
        <f>'TUC Intl High Level Sales Plan'!BR11</f>
        <v>0</v>
      </c>
      <c r="J9" s="152">
        <f>'TUC Intl High Level Sales Plan'!BS11</f>
        <v>0</v>
      </c>
      <c r="K9" s="152">
        <f>'TUC Intl High Level Sales Plan'!BT11</f>
        <v>0</v>
      </c>
      <c r="L9" s="152">
        <f>'TUC Intl High Level Sales Plan'!BU11</f>
        <v>0</v>
      </c>
      <c r="M9" s="152">
        <f>'TUC Intl High Level Sales Plan'!BV11</f>
        <v>0</v>
      </c>
    </row>
    <row r="10" spans="1:17" ht="13.5" outlineLevel="1">
      <c r="B10" s="19" t="s">
        <v>171</v>
      </c>
      <c r="C10" s="19" t="s">
        <v>121</v>
      </c>
      <c r="D10" s="152">
        <f>SUMIFS('TUC Intl High Level Sales Plan'!BM:BM,'TUC Intl High Level Sales Plan'!$C:$C,'TUC International'!$B10,'TUC Intl High Level Sales Plan'!$D:$D,'TUC International'!$C10)</f>
        <v>0</v>
      </c>
      <c r="E10" s="152">
        <f>'TUC Intl High Level Sales Plan'!BN12</f>
        <v>0</v>
      </c>
      <c r="F10" s="152">
        <f>'TUC Intl High Level Sales Plan'!BO12</f>
        <v>0</v>
      </c>
      <c r="G10" s="152">
        <f>'TUC Intl High Level Sales Plan'!BP12</f>
        <v>0</v>
      </c>
      <c r="H10" s="152">
        <f>'TUC Intl High Level Sales Plan'!BQ12</f>
        <v>0</v>
      </c>
      <c r="I10" s="152">
        <f>'TUC Intl High Level Sales Plan'!BR12</f>
        <v>0</v>
      </c>
      <c r="J10" s="152">
        <f>'TUC Intl High Level Sales Plan'!BS12</f>
        <v>0</v>
      </c>
      <c r="K10" s="152">
        <f>'TUC Intl High Level Sales Plan'!BT12</f>
        <v>0</v>
      </c>
      <c r="L10" s="152">
        <f>'TUC Intl High Level Sales Plan'!BU12</f>
        <v>0</v>
      </c>
      <c r="M10" s="152">
        <f>'TUC Intl High Level Sales Plan'!BV12</f>
        <v>0</v>
      </c>
    </row>
    <row r="11" spans="1:17" ht="13.5" outlineLevel="1">
      <c r="B11" s="19" t="s">
        <v>171</v>
      </c>
      <c r="C11" s="19" t="s">
        <v>129</v>
      </c>
      <c r="D11" s="152">
        <f>SUMIFS('TUC Intl High Level Sales Plan'!BM:BM,'TUC Intl High Level Sales Plan'!$C:$C,'TUC International'!$B11,'TUC Intl High Level Sales Plan'!$D:$D,'TUC International'!$C11)</f>
        <v>0</v>
      </c>
      <c r="E11" s="152">
        <f>'TUC Intl High Level Sales Plan'!BN13</f>
        <v>0</v>
      </c>
      <c r="F11" s="152">
        <f>'TUC Intl High Level Sales Plan'!BO13</f>
        <v>0</v>
      </c>
      <c r="G11" s="152">
        <f>'TUC Intl High Level Sales Plan'!BP13</f>
        <v>0</v>
      </c>
      <c r="H11" s="152">
        <f>'TUC Intl High Level Sales Plan'!BQ13</f>
        <v>0</v>
      </c>
      <c r="I11" s="152">
        <f>'TUC Intl High Level Sales Plan'!BR13</f>
        <v>0</v>
      </c>
      <c r="J11" s="152">
        <f>'TUC Intl High Level Sales Plan'!BS13</f>
        <v>0</v>
      </c>
      <c r="K11" s="152">
        <f>'TUC Intl High Level Sales Plan'!BT13</f>
        <v>0</v>
      </c>
      <c r="L11" s="152">
        <f>'TUC Intl High Level Sales Plan'!BU13</f>
        <v>0</v>
      </c>
      <c r="M11" s="152">
        <f>'TUC Intl High Level Sales Plan'!BV13</f>
        <v>0</v>
      </c>
    </row>
    <row r="12" spans="1:17" ht="13.5" outlineLevel="1">
      <c r="B12" s="19" t="s">
        <v>171</v>
      </c>
      <c r="C12" s="19" t="s">
        <v>167</v>
      </c>
      <c r="D12" s="152">
        <f>SUMIFS('TUC Intl High Level Sales Plan'!BM:BM,'TUC Intl High Level Sales Plan'!$C:$C,'TUC International'!$B12,'TUC Intl High Level Sales Plan'!$D:$D,'TUC International'!$C12)</f>
        <v>0</v>
      </c>
      <c r="E12" s="152">
        <f>'TUC Intl High Level Sales Plan'!BN14</f>
        <v>0</v>
      </c>
      <c r="F12" s="152">
        <f>'TUC Intl High Level Sales Plan'!BO14</f>
        <v>0</v>
      </c>
      <c r="G12" s="152">
        <f>'TUC Intl High Level Sales Plan'!BP14</f>
        <v>0</v>
      </c>
      <c r="H12" s="152">
        <f>'TUC Intl High Level Sales Plan'!BQ14</f>
        <v>0</v>
      </c>
      <c r="I12" s="152">
        <f>'TUC Intl High Level Sales Plan'!BR14</f>
        <v>0</v>
      </c>
      <c r="J12" s="152">
        <f>'TUC Intl High Level Sales Plan'!BS14</f>
        <v>0</v>
      </c>
      <c r="K12" s="152">
        <f>'TUC Intl High Level Sales Plan'!BT14</f>
        <v>0</v>
      </c>
      <c r="L12" s="152">
        <f>'TUC Intl High Level Sales Plan'!BU14</f>
        <v>0</v>
      </c>
      <c r="M12" s="152">
        <f>'TUC Intl High Level Sales Plan'!BV14</f>
        <v>0</v>
      </c>
    </row>
    <row r="13" spans="1:17" ht="13.5" outlineLevel="1">
      <c r="B13" s="19" t="s">
        <v>171</v>
      </c>
      <c r="C13" s="19" t="s">
        <v>170</v>
      </c>
      <c r="D13" s="152">
        <f>SUMIFS('TUC Intl High Level Sales Plan'!BM:BM,'TUC Intl High Level Sales Plan'!$C:$C,'TUC International'!$B13,'TUC Intl High Level Sales Plan'!$D:$D,'TUC International'!$C13)</f>
        <v>0</v>
      </c>
      <c r="E13" s="152">
        <f>'TUC Intl High Level Sales Plan'!BN15</f>
        <v>0</v>
      </c>
      <c r="F13" s="152">
        <f>'TUC Intl High Level Sales Plan'!BO15</f>
        <v>0</v>
      </c>
      <c r="G13" s="152">
        <f>'TUC Intl High Level Sales Plan'!BP15</f>
        <v>0</v>
      </c>
      <c r="H13" s="152">
        <f>'TUC Intl High Level Sales Plan'!BQ15</f>
        <v>0</v>
      </c>
      <c r="I13" s="152">
        <f>'TUC Intl High Level Sales Plan'!BR15</f>
        <v>0</v>
      </c>
      <c r="J13" s="152">
        <f>'TUC Intl High Level Sales Plan'!BS15</f>
        <v>0</v>
      </c>
      <c r="K13" s="152">
        <f>'TUC Intl High Level Sales Plan'!BT15</f>
        <v>0</v>
      </c>
      <c r="L13" s="152">
        <f>'TUC Intl High Level Sales Plan'!BU15</f>
        <v>0</v>
      </c>
      <c r="M13" s="152">
        <f>'TUC Intl High Level Sales Plan'!BV15</f>
        <v>0</v>
      </c>
    </row>
    <row r="14" spans="1:17" ht="13.5" outlineLevel="1">
      <c r="B14" s="19" t="s">
        <v>172</v>
      </c>
      <c r="C14" s="19" t="s">
        <v>121</v>
      </c>
      <c r="D14" s="152">
        <f>SUMIFS('TUC Intl High Level Sales Plan'!BM:BM,'TUC Intl High Level Sales Plan'!$C:$C,'TUC International'!$B14,'TUC Intl High Level Sales Plan'!$D:$D,'TUC International'!$C14)</f>
        <v>0</v>
      </c>
      <c r="E14" s="152">
        <f>'TUC Intl High Level Sales Plan'!BN16</f>
        <v>0</v>
      </c>
      <c r="F14" s="152">
        <f>'TUC Intl High Level Sales Plan'!BO16</f>
        <v>0</v>
      </c>
      <c r="G14" s="152">
        <f>'TUC Intl High Level Sales Plan'!BP16</f>
        <v>0</v>
      </c>
      <c r="H14" s="152">
        <f>'TUC Intl High Level Sales Plan'!BQ16</f>
        <v>0</v>
      </c>
      <c r="I14" s="152">
        <f>'TUC Intl High Level Sales Plan'!BR16</f>
        <v>0</v>
      </c>
      <c r="J14" s="152">
        <f>'TUC Intl High Level Sales Plan'!BS16</f>
        <v>0</v>
      </c>
      <c r="K14" s="152">
        <f>'TUC Intl High Level Sales Plan'!BT16</f>
        <v>0</v>
      </c>
      <c r="L14" s="152">
        <f>'TUC Intl High Level Sales Plan'!BU16</f>
        <v>0</v>
      </c>
      <c r="M14" s="152">
        <f>'TUC Intl High Level Sales Plan'!BV16</f>
        <v>0</v>
      </c>
    </row>
    <row r="15" spans="1:17" ht="13.5" outlineLevel="1">
      <c r="B15" s="19" t="s">
        <v>172</v>
      </c>
      <c r="C15" s="19" t="s">
        <v>129</v>
      </c>
      <c r="D15" s="152">
        <f>SUMIFS('TUC Intl High Level Sales Plan'!BM:BM,'TUC Intl High Level Sales Plan'!$C:$C,'TUC International'!$B15,'TUC Intl High Level Sales Plan'!$D:$D,'TUC International'!$C15)</f>
        <v>0</v>
      </c>
      <c r="E15" s="152">
        <f>'TUC Intl High Level Sales Plan'!BN17</f>
        <v>0</v>
      </c>
      <c r="F15" s="152">
        <f>'TUC Intl High Level Sales Plan'!BO17</f>
        <v>0</v>
      </c>
      <c r="G15" s="152">
        <f>'TUC Intl High Level Sales Plan'!BP17</f>
        <v>0</v>
      </c>
      <c r="H15" s="152">
        <f>'TUC Intl High Level Sales Plan'!BQ17</f>
        <v>0</v>
      </c>
      <c r="I15" s="152">
        <f>'TUC Intl High Level Sales Plan'!BR17</f>
        <v>0</v>
      </c>
      <c r="J15" s="152">
        <f>'TUC Intl High Level Sales Plan'!BS17</f>
        <v>0</v>
      </c>
      <c r="K15" s="152">
        <f>'TUC Intl High Level Sales Plan'!BT17</f>
        <v>0</v>
      </c>
      <c r="L15" s="152">
        <f>'TUC Intl High Level Sales Plan'!BU17</f>
        <v>0</v>
      </c>
      <c r="M15" s="152">
        <f>'TUC Intl High Level Sales Plan'!BV17</f>
        <v>0</v>
      </c>
    </row>
    <row r="16" spans="1:17" ht="13.5" outlineLevel="1">
      <c r="B16" s="19" t="s">
        <v>172</v>
      </c>
      <c r="C16" s="19" t="s">
        <v>167</v>
      </c>
      <c r="D16" s="152">
        <f>SUMIFS('TUC Intl High Level Sales Plan'!BM:BM,'TUC Intl High Level Sales Plan'!$C:$C,'TUC International'!$B16,'TUC Intl High Level Sales Plan'!$D:$D,'TUC International'!$C16)</f>
        <v>0</v>
      </c>
      <c r="E16" s="152">
        <f>'TUC Intl High Level Sales Plan'!BN18</f>
        <v>0</v>
      </c>
      <c r="F16" s="152">
        <f>'TUC Intl High Level Sales Plan'!BO18</f>
        <v>0</v>
      </c>
      <c r="G16" s="152">
        <f>'TUC Intl High Level Sales Plan'!BP18</f>
        <v>0</v>
      </c>
      <c r="H16" s="152">
        <f>'TUC Intl High Level Sales Plan'!BQ18</f>
        <v>0</v>
      </c>
      <c r="I16" s="152">
        <f>'TUC Intl High Level Sales Plan'!BR18</f>
        <v>0</v>
      </c>
      <c r="J16" s="152">
        <f>'TUC Intl High Level Sales Plan'!BS18</f>
        <v>0</v>
      </c>
      <c r="K16" s="152">
        <f>'TUC Intl High Level Sales Plan'!BT18</f>
        <v>0</v>
      </c>
      <c r="L16" s="152">
        <f>'TUC Intl High Level Sales Plan'!BU18</f>
        <v>0</v>
      </c>
      <c r="M16" s="152">
        <f>'TUC Intl High Level Sales Plan'!BV18</f>
        <v>0</v>
      </c>
    </row>
    <row r="17" spans="2:13" ht="13.5" outlineLevel="1">
      <c r="B17" s="19" t="s">
        <v>172</v>
      </c>
      <c r="C17" s="19" t="s">
        <v>170</v>
      </c>
      <c r="D17" s="152">
        <f>SUMIFS('TUC Intl High Level Sales Plan'!BM:BM,'TUC Intl High Level Sales Plan'!$C:$C,'TUC International'!$B17,'TUC Intl High Level Sales Plan'!$D:$D,'TUC International'!$C17)</f>
        <v>0</v>
      </c>
      <c r="E17" s="152">
        <f>'TUC Intl High Level Sales Plan'!BN19</f>
        <v>0</v>
      </c>
      <c r="F17" s="152">
        <f>'TUC Intl High Level Sales Plan'!BO19</f>
        <v>0</v>
      </c>
      <c r="G17" s="152">
        <f>'TUC Intl High Level Sales Plan'!BP19</f>
        <v>0</v>
      </c>
      <c r="H17" s="152">
        <f>'TUC Intl High Level Sales Plan'!BQ19</f>
        <v>0</v>
      </c>
      <c r="I17" s="152">
        <f>'TUC Intl High Level Sales Plan'!BR19</f>
        <v>0</v>
      </c>
      <c r="J17" s="152">
        <f>'TUC Intl High Level Sales Plan'!BS19</f>
        <v>0</v>
      </c>
      <c r="K17" s="152">
        <f>'TUC Intl High Level Sales Plan'!BT19</f>
        <v>0</v>
      </c>
      <c r="L17" s="152">
        <f>'TUC Intl High Level Sales Plan'!BU19</f>
        <v>0</v>
      </c>
      <c r="M17" s="152">
        <f>'TUC Intl High Level Sales Plan'!BV19</f>
        <v>0</v>
      </c>
    </row>
    <row r="18" spans="2:13" ht="13.5" outlineLevel="1">
      <c r="B18" s="19" t="s">
        <v>173</v>
      </c>
      <c r="C18" s="19" t="s">
        <v>121</v>
      </c>
      <c r="D18" s="152">
        <f>SUMIFS('TUC Intl High Level Sales Plan'!BM:BM,'TUC Intl High Level Sales Plan'!$C:$C,'TUC International'!$B18,'TUC Intl High Level Sales Plan'!$D:$D,'TUC International'!$C18)</f>
        <v>0</v>
      </c>
      <c r="E18" s="152">
        <f>'TUC Intl High Level Sales Plan'!BN20</f>
        <v>0</v>
      </c>
      <c r="F18" s="152">
        <f>'TUC Intl High Level Sales Plan'!BO20</f>
        <v>0</v>
      </c>
      <c r="G18" s="152">
        <f>'TUC Intl High Level Sales Plan'!BP20</f>
        <v>0</v>
      </c>
      <c r="H18" s="152">
        <f>'TUC Intl High Level Sales Plan'!BQ20</f>
        <v>0</v>
      </c>
      <c r="I18" s="152">
        <f>'TUC Intl High Level Sales Plan'!BR20</f>
        <v>0</v>
      </c>
      <c r="J18" s="152">
        <f>'TUC Intl High Level Sales Plan'!BS20</f>
        <v>0</v>
      </c>
      <c r="K18" s="152">
        <f>'TUC Intl High Level Sales Plan'!BT20</f>
        <v>0</v>
      </c>
      <c r="L18" s="152">
        <f>'TUC Intl High Level Sales Plan'!BU20</f>
        <v>0</v>
      </c>
      <c r="M18" s="152">
        <f>'TUC Intl High Level Sales Plan'!BV20</f>
        <v>0</v>
      </c>
    </row>
    <row r="19" spans="2:13" ht="13.5" outlineLevel="1">
      <c r="B19" s="19" t="s">
        <v>173</v>
      </c>
      <c r="C19" s="19" t="s">
        <v>129</v>
      </c>
      <c r="D19" s="152">
        <f>SUMIFS('TUC Intl High Level Sales Plan'!BM:BM,'TUC Intl High Level Sales Plan'!$C:$C,'TUC International'!$B19,'TUC Intl High Level Sales Plan'!$D:$D,'TUC International'!$C19)</f>
        <v>0</v>
      </c>
      <c r="E19" s="152">
        <f>'TUC Intl High Level Sales Plan'!BN21</f>
        <v>0</v>
      </c>
      <c r="F19" s="152">
        <f>'TUC Intl High Level Sales Plan'!BO21</f>
        <v>0</v>
      </c>
      <c r="G19" s="152">
        <f>'TUC Intl High Level Sales Plan'!BP21</f>
        <v>0</v>
      </c>
      <c r="H19" s="152">
        <f>'TUC Intl High Level Sales Plan'!BQ21</f>
        <v>0</v>
      </c>
      <c r="I19" s="152">
        <f>'TUC Intl High Level Sales Plan'!BR21</f>
        <v>0</v>
      </c>
      <c r="J19" s="152">
        <f>'TUC Intl High Level Sales Plan'!BS21</f>
        <v>0</v>
      </c>
      <c r="K19" s="152">
        <f>'TUC Intl High Level Sales Plan'!BT21</f>
        <v>0</v>
      </c>
      <c r="L19" s="152">
        <f>'TUC Intl High Level Sales Plan'!BU21</f>
        <v>0</v>
      </c>
      <c r="M19" s="152">
        <f>'TUC Intl High Level Sales Plan'!BV21</f>
        <v>0</v>
      </c>
    </row>
    <row r="20" spans="2:13" ht="13.5" outlineLevel="1">
      <c r="B20" s="19" t="s">
        <v>173</v>
      </c>
      <c r="C20" s="19" t="s">
        <v>167</v>
      </c>
      <c r="D20" s="152">
        <f>SUMIFS('TUC Intl High Level Sales Plan'!BM:BM,'TUC Intl High Level Sales Plan'!$C:$C,'TUC International'!$B20,'TUC Intl High Level Sales Plan'!$D:$D,'TUC International'!$C20)</f>
        <v>0</v>
      </c>
      <c r="E20" s="152">
        <f>'TUC Intl High Level Sales Plan'!BN22</f>
        <v>0</v>
      </c>
      <c r="F20" s="152">
        <f>'TUC Intl High Level Sales Plan'!BO22</f>
        <v>0</v>
      </c>
      <c r="G20" s="152">
        <f>'TUC Intl High Level Sales Plan'!BP22</f>
        <v>0</v>
      </c>
      <c r="H20" s="152">
        <f>'TUC Intl High Level Sales Plan'!BQ22</f>
        <v>0</v>
      </c>
      <c r="I20" s="152">
        <f>'TUC Intl High Level Sales Plan'!BR22</f>
        <v>0</v>
      </c>
      <c r="J20" s="152">
        <f>'TUC Intl High Level Sales Plan'!BS22</f>
        <v>0</v>
      </c>
      <c r="K20" s="152">
        <f>'TUC Intl High Level Sales Plan'!BT22</f>
        <v>0</v>
      </c>
      <c r="L20" s="152">
        <f>'TUC Intl High Level Sales Plan'!BU22</f>
        <v>0</v>
      </c>
      <c r="M20" s="152">
        <f>'TUC Intl High Level Sales Plan'!BV22</f>
        <v>0</v>
      </c>
    </row>
    <row r="21" spans="2:13" ht="13.5" outlineLevel="1">
      <c r="B21" s="19" t="s">
        <v>173</v>
      </c>
      <c r="C21" s="19" t="s">
        <v>170</v>
      </c>
      <c r="D21" s="152">
        <f>SUMIFS('TUC Intl High Level Sales Plan'!BM:BM,'TUC Intl High Level Sales Plan'!$C:$C,'TUC International'!$B21,'TUC Intl High Level Sales Plan'!$D:$D,'TUC International'!$C21)</f>
        <v>0</v>
      </c>
      <c r="E21" s="152">
        <f>'TUC Intl High Level Sales Plan'!BN23</f>
        <v>0</v>
      </c>
      <c r="F21" s="152">
        <f>'TUC Intl High Level Sales Plan'!BO23</f>
        <v>0</v>
      </c>
      <c r="G21" s="152">
        <f>'TUC Intl High Level Sales Plan'!BP23</f>
        <v>0</v>
      </c>
      <c r="H21" s="152">
        <f>'TUC Intl High Level Sales Plan'!BQ23</f>
        <v>0</v>
      </c>
      <c r="I21" s="152">
        <f>'TUC Intl High Level Sales Plan'!BR23</f>
        <v>0</v>
      </c>
      <c r="J21" s="152">
        <f>'TUC Intl High Level Sales Plan'!BS23</f>
        <v>0</v>
      </c>
      <c r="K21" s="152">
        <f>'TUC Intl High Level Sales Plan'!BT23</f>
        <v>0</v>
      </c>
      <c r="L21" s="152">
        <f>'TUC Intl High Level Sales Plan'!BU23</f>
        <v>0</v>
      </c>
      <c r="M21" s="152">
        <f>'TUC Intl High Level Sales Plan'!BV23</f>
        <v>0</v>
      </c>
    </row>
    <row r="22" spans="2:13" ht="13.5" outlineLevel="1">
      <c r="B22" s="19"/>
      <c r="C22" s="19"/>
      <c r="D22" s="152"/>
      <c r="E22" s="152">
        <f>'TUC Intl High Level Sales Plan'!BN24</f>
        <v>0</v>
      </c>
      <c r="F22" s="152">
        <f>'TUC Intl High Level Sales Plan'!BO24</f>
        <v>0</v>
      </c>
      <c r="G22" s="152">
        <f>'TUC Intl High Level Sales Plan'!BP24</f>
        <v>0</v>
      </c>
      <c r="H22" s="152">
        <f>'TUC Intl High Level Sales Plan'!BQ24</f>
        <v>0</v>
      </c>
      <c r="I22" s="152">
        <f>'TUC Intl High Level Sales Plan'!BR24</f>
        <v>0</v>
      </c>
      <c r="J22" s="152">
        <f>'TUC Intl High Level Sales Plan'!BS24</f>
        <v>0</v>
      </c>
      <c r="K22" s="152">
        <f>'TUC Intl High Level Sales Plan'!BT24</f>
        <v>0</v>
      </c>
      <c r="L22" s="152">
        <f>'TUC Intl High Level Sales Plan'!BU24</f>
        <v>0</v>
      </c>
      <c r="M22" s="152">
        <f>'TUC Intl High Level Sales Plan'!BV24</f>
        <v>0</v>
      </c>
    </row>
    <row r="23" spans="2:13" ht="13.5" outlineLevel="1">
      <c r="B23" s="19"/>
      <c r="C23" s="19"/>
      <c r="D23" s="152"/>
      <c r="E23" s="152">
        <f>'TUC Intl High Level Sales Plan'!BN25</f>
        <v>0</v>
      </c>
      <c r="F23" s="152">
        <f>'TUC Intl High Level Sales Plan'!BO25</f>
        <v>0</v>
      </c>
      <c r="G23" s="152">
        <f>'TUC Intl High Level Sales Plan'!BP25</f>
        <v>0</v>
      </c>
      <c r="H23" s="152">
        <f>'TUC Intl High Level Sales Plan'!BQ25</f>
        <v>0</v>
      </c>
      <c r="I23" s="152">
        <f>'TUC Intl High Level Sales Plan'!BR25</f>
        <v>0</v>
      </c>
      <c r="J23" s="152">
        <f>'TUC Intl High Level Sales Plan'!BS25</f>
        <v>0</v>
      </c>
      <c r="K23" s="152">
        <f>'TUC Intl High Level Sales Plan'!BT25</f>
        <v>0</v>
      </c>
      <c r="L23" s="152">
        <f>'TUC Intl High Level Sales Plan'!BU25</f>
        <v>0</v>
      </c>
      <c r="M23" s="152">
        <f>'TUC Intl High Level Sales Plan'!BV25</f>
        <v>0</v>
      </c>
    </row>
    <row r="24" spans="2:13" ht="13.5" outlineLevel="1">
      <c r="B24" s="19"/>
      <c r="C24" s="19"/>
      <c r="D24" s="152"/>
      <c r="E24" s="152">
        <f>'TUC Intl High Level Sales Plan'!BN26</f>
        <v>0</v>
      </c>
      <c r="F24" s="152">
        <f>'TUC Intl High Level Sales Plan'!BO26</f>
        <v>0</v>
      </c>
      <c r="G24" s="152">
        <f>'TUC Intl High Level Sales Plan'!BP26</f>
        <v>0</v>
      </c>
      <c r="H24" s="152">
        <f>'TUC Intl High Level Sales Plan'!BQ26</f>
        <v>0</v>
      </c>
      <c r="I24" s="152">
        <f>'TUC Intl High Level Sales Plan'!BR26</f>
        <v>0</v>
      </c>
      <c r="J24" s="152">
        <f>'TUC Intl High Level Sales Plan'!BS26</f>
        <v>0</v>
      </c>
      <c r="K24" s="152">
        <f>'TUC Intl High Level Sales Plan'!BT26</f>
        <v>0</v>
      </c>
      <c r="L24" s="152">
        <f>'TUC Intl High Level Sales Plan'!BU26</f>
        <v>0</v>
      </c>
      <c r="M24" s="152">
        <f>'TUC Intl High Level Sales Plan'!BV26</f>
        <v>0</v>
      </c>
    </row>
    <row r="25" spans="2:13" ht="13.5" outlineLevel="1">
      <c r="B25" s="19"/>
      <c r="C25" s="19"/>
      <c r="D25" s="152"/>
      <c r="E25" s="152">
        <f>'TUC Intl High Level Sales Plan'!BN27</f>
        <v>0</v>
      </c>
      <c r="F25" s="152">
        <f>'TUC Intl High Level Sales Plan'!BO27</f>
        <v>0</v>
      </c>
      <c r="G25" s="152">
        <f>'TUC Intl High Level Sales Plan'!BP27</f>
        <v>0</v>
      </c>
      <c r="H25" s="152">
        <f>'TUC Intl High Level Sales Plan'!BQ27</f>
        <v>0</v>
      </c>
      <c r="I25" s="152">
        <f>'TUC Intl High Level Sales Plan'!BR27</f>
        <v>0</v>
      </c>
      <c r="J25" s="152">
        <f>'TUC Intl High Level Sales Plan'!BS27</f>
        <v>0</v>
      </c>
      <c r="K25" s="152">
        <f>'TUC Intl High Level Sales Plan'!BT27</f>
        <v>0</v>
      </c>
      <c r="L25" s="152">
        <f>'TUC Intl High Level Sales Plan'!BU27</f>
        <v>0</v>
      </c>
      <c r="M25" s="152">
        <f>'TUC Intl High Level Sales Plan'!BV27</f>
        <v>0</v>
      </c>
    </row>
    <row r="26" spans="2:13" ht="13.5" outlineLevel="1">
      <c r="B26" s="19"/>
      <c r="C26" s="19"/>
      <c r="D26" s="152"/>
      <c r="E26" s="152">
        <f>'TUC Intl High Level Sales Plan'!BN28</f>
        <v>0</v>
      </c>
      <c r="F26" s="152">
        <f>'TUC Intl High Level Sales Plan'!BO28</f>
        <v>0</v>
      </c>
      <c r="G26" s="152">
        <f>'TUC Intl High Level Sales Plan'!BP28</f>
        <v>0</v>
      </c>
      <c r="H26" s="152">
        <f>'TUC Intl High Level Sales Plan'!BQ28</f>
        <v>0</v>
      </c>
      <c r="I26" s="152">
        <f>'TUC Intl High Level Sales Plan'!BR28</f>
        <v>0</v>
      </c>
      <c r="J26" s="152">
        <f>'TUC Intl High Level Sales Plan'!BS28</f>
        <v>0</v>
      </c>
      <c r="K26" s="152">
        <f>'TUC Intl High Level Sales Plan'!BT28</f>
        <v>0</v>
      </c>
      <c r="L26" s="152">
        <f>'TUC Intl High Level Sales Plan'!BU28</f>
        <v>0</v>
      </c>
      <c r="M26" s="152">
        <f>'TUC Intl High Level Sales Plan'!BV28</f>
        <v>0</v>
      </c>
    </row>
    <row r="27" spans="2:13" ht="13.5" outlineLevel="1">
      <c r="B27" s="19"/>
      <c r="C27" s="19"/>
      <c r="D27" s="152"/>
      <c r="E27" s="152">
        <f>'TUC Intl High Level Sales Plan'!BN29</f>
        <v>0</v>
      </c>
      <c r="F27" s="152">
        <f>'TUC Intl High Level Sales Plan'!BO29</f>
        <v>0</v>
      </c>
      <c r="G27" s="152">
        <f>'TUC Intl High Level Sales Plan'!BP29</f>
        <v>0</v>
      </c>
      <c r="H27" s="152">
        <f>'TUC Intl High Level Sales Plan'!BQ29</f>
        <v>0</v>
      </c>
      <c r="I27" s="152">
        <f>'TUC Intl High Level Sales Plan'!BR29</f>
        <v>0</v>
      </c>
      <c r="J27" s="152">
        <f>'TUC Intl High Level Sales Plan'!BS29</f>
        <v>0</v>
      </c>
      <c r="K27" s="152">
        <f>'TUC Intl High Level Sales Plan'!BT29</f>
        <v>0</v>
      </c>
      <c r="L27" s="152">
        <f>'TUC Intl High Level Sales Plan'!BU29</f>
        <v>0</v>
      </c>
      <c r="M27" s="152">
        <f>'TUC Intl High Level Sales Plan'!BV29</f>
        <v>0</v>
      </c>
    </row>
    <row r="28" spans="2:13" ht="13.5" outlineLevel="1">
      <c r="B28" s="19"/>
      <c r="C28" s="19"/>
      <c r="D28" s="152"/>
      <c r="E28" s="152">
        <f>'TUC Intl High Level Sales Plan'!BN30</f>
        <v>0</v>
      </c>
      <c r="F28" s="152">
        <f>'TUC Intl High Level Sales Plan'!BO30</f>
        <v>0</v>
      </c>
      <c r="G28" s="152">
        <f>'TUC Intl High Level Sales Plan'!BP30</f>
        <v>0</v>
      </c>
      <c r="H28" s="152">
        <f>'TUC Intl High Level Sales Plan'!BQ30</f>
        <v>0</v>
      </c>
      <c r="I28" s="152">
        <f>'TUC Intl High Level Sales Plan'!BR30</f>
        <v>0</v>
      </c>
      <c r="J28" s="152">
        <f>'TUC Intl High Level Sales Plan'!BS30</f>
        <v>0</v>
      </c>
      <c r="K28" s="152">
        <f>'TUC Intl High Level Sales Plan'!BT30</f>
        <v>0</v>
      </c>
      <c r="L28" s="152">
        <f>'TUC Intl High Level Sales Plan'!BU30</f>
        <v>0</v>
      </c>
      <c r="M28" s="152">
        <f>'TUC Intl High Level Sales Plan'!BV30</f>
        <v>0</v>
      </c>
    </row>
    <row r="29" spans="2:13" ht="3.75" customHeight="1" outlineLevel="1">
      <c r="D29" s="14"/>
      <c r="E29" s="14"/>
      <c r="F29" s="14"/>
      <c r="G29" s="14"/>
      <c r="H29" s="14"/>
      <c r="I29" s="14"/>
      <c r="J29" s="14"/>
      <c r="K29" s="14"/>
      <c r="L29" s="14"/>
      <c r="M29" s="14"/>
    </row>
    <row r="30" spans="2:13" s="15" customFormat="1" ht="15.75" customHeight="1">
      <c r="B30" s="16" t="s">
        <v>66</v>
      </c>
      <c r="C30" s="16"/>
      <c r="D30" s="17"/>
      <c r="E30" s="17"/>
      <c r="F30" s="17"/>
      <c r="G30" s="17"/>
      <c r="H30" s="17"/>
      <c r="I30" s="17"/>
      <c r="J30" s="17"/>
      <c r="K30" s="17"/>
      <c r="L30" s="17"/>
      <c r="M30" s="17"/>
    </row>
    <row r="31" spans="2:13" ht="13.5" hidden="1" outlineLevel="1">
      <c r="B31" s="19" t="str">
        <f>B6</f>
        <v>United Kingdom</v>
      </c>
      <c r="C31" s="19" t="str">
        <f t="shared" ref="C31:C53" si="1">C6</f>
        <v>Ice Cream</v>
      </c>
      <c r="D31" s="22">
        <f>SUMIFS('TUC Intl High Level Sales Plan'!EA:EA,'TUC Intl High Level Sales Plan'!$C:$C,'TUC International'!$B31,'TUC Intl High Level Sales Plan'!$D:$D,'TUC International'!$C31)</f>
        <v>0</v>
      </c>
      <c r="E31" s="22">
        <f>SUMIFS('TUC Intl High Level Sales Plan'!EB:EB,'TUC Intl High Level Sales Plan'!$C:$C,'TUC International'!$B31,'TUC Intl High Level Sales Plan'!$D:$D,'TUC International'!$C31)</f>
        <v>0</v>
      </c>
      <c r="F31" s="20">
        <f>SUMIFS('TUC Intl High Level Sales Plan'!EC:EC,'TUC Intl High Level Sales Plan'!$C:$C,'TUC International'!$B31,'TUC Intl High Level Sales Plan'!$D:$D,'TUC International'!$C31)</f>
        <v>0</v>
      </c>
      <c r="G31" s="20">
        <f>SUMIFS('TUC Intl High Level Sales Plan'!ED:ED,'TUC Intl High Level Sales Plan'!$C:$C,'TUC International'!$B31,'TUC Intl High Level Sales Plan'!$D:$D,'TUC International'!$C31)</f>
        <v>0</v>
      </c>
      <c r="H31" s="20">
        <f>SUMIFS('TUC Intl High Level Sales Plan'!EE:EE,'TUC Intl High Level Sales Plan'!$C:$C,'TUC International'!$B31,'TUC Intl High Level Sales Plan'!$D:$D,'TUC International'!$C31)</f>
        <v>0</v>
      </c>
      <c r="I31" s="20">
        <f>SUMIFS('TUC Intl High Level Sales Plan'!EF:EF,'TUC Intl High Level Sales Plan'!$C:$C,'TUC International'!$B31,'TUC Intl High Level Sales Plan'!$D:$D,'TUC International'!$C31)</f>
        <v>0</v>
      </c>
      <c r="J31" s="20">
        <f>SUMIFS('TUC Intl High Level Sales Plan'!EG:EG,'TUC Intl High Level Sales Plan'!$C:$C,'TUC International'!$B31,'TUC Intl High Level Sales Plan'!$D:$D,'TUC International'!$C31)</f>
        <v>0</v>
      </c>
      <c r="K31" s="20">
        <f>SUMIFS('TUC Intl High Level Sales Plan'!EH:EH,'TUC Intl High Level Sales Plan'!$C:$C,'TUC International'!$B31,'TUC Intl High Level Sales Plan'!$D:$D,'TUC International'!$C31)</f>
        <v>0</v>
      </c>
      <c r="L31" s="20">
        <f>SUMIFS('TUC Intl High Level Sales Plan'!EI:EI,'TUC Intl High Level Sales Plan'!$C:$C,'TUC International'!$B31,'TUC Intl High Level Sales Plan'!$D:$D,'TUC International'!$C31)</f>
        <v>0</v>
      </c>
      <c r="M31" s="20">
        <f>SUMIFS('TUC Intl High Level Sales Plan'!EJ:EJ,'TUC Intl High Level Sales Plan'!$C:$C,'TUC International'!$B31,'TUC Intl High Level Sales Plan'!$D:$D,'TUC International'!$C31)</f>
        <v>0</v>
      </c>
    </row>
    <row r="32" spans="2:13" ht="13.5" hidden="1" outlineLevel="1">
      <c r="B32" s="19" t="str">
        <f t="shared" ref="B32" si="2">B7</f>
        <v>United Kingdom</v>
      </c>
      <c r="C32" s="19" t="str">
        <f t="shared" si="1"/>
        <v>Milk</v>
      </c>
      <c r="D32" s="22">
        <f>SUMIFS('TUC Intl High Level Sales Plan'!EA:EA,'TUC Intl High Level Sales Plan'!$C:$C,'TUC International'!$B32,'TUC Intl High Level Sales Plan'!$D:$D,'TUC International'!$C32)</f>
        <v>0</v>
      </c>
      <c r="E32" s="22">
        <f>SUMIFS('TUC Intl High Level Sales Plan'!EB:EB,'TUC Intl High Level Sales Plan'!$C:$C,'TUC International'!$B32,'TUC Intl High Level Sales Plan'!$D:$D,'TUC International'!$C32)</f>
        <v>0</v>
      </c>
      <c r="F32" s="20">
        <f>SUMIFS('TUC Intl High Level Sales Plan'!EC:EC,'TUC Intl High Level Sales Plan'!$C:$C,'TUC International'!$B32,'TUC Intl High Level Sales Plan'!$D:$D,'TUC International'!$C32)</f>
        <v>0</v>
      </c>
      <c r="G32" s="20">
        <f>SUMIFS('TUC Intl High Level Sales Plan'!ED:ED,'TUC Intl High Level Sales Plan'!$C:$C,'TUC International'!$B32,'TUC Intl High Level Sales Plan'!$D:$D,'TUC International'!$C32)</f>
        <v>0</v>
      </c>
      <c r="H32" s="20">
        <f>SUMIFS('TUC Intl High Level Sales Plan'!EE:EE,'TUC Intl High Level Sales Plan'!$C:$C,'TUC International'!$B32,'TUC Intl High Level Sales Plan'!$D:$D,'TUC International'!$C32)</f>
        <v>0</v>
      </c>
      <c r="I32" s="20">
        <f>SUMIFS('TUC Intl High Level Sales Plan'!EF:EF,'TUC Intl High Level Sales Plan'!$C:$C,'TUC International'!$B32,'TUC Intl High Level Sales Plan'!$D:$D,'TUC International'!$C32)</f>
        <v>0</v>
      </c>
      <c r="J32" s="20">
        <f>SUMIFS('TUC Intl High Level Sales Plan'!EG:EG,'TUC Intl High Level Sales Plan'!$C:$C,'TUC International'!$B32,'TUC Intl High Level Sales Plan'!$D:$D,'TUC International'!$C32)</f>
        <v>0</v>
      </c>
      <c r="K32" s="20">
        <f>SUMIFS('TUC Intl High Level Sales Plan'!EH:EH,'TUC Intl High Level Sales Plan'!$C:$C,'TUC International'!$B32,'TUC Intl High Level Sales Plan'!$D:$D,'TUC International'!$C32)</f>
        <v>0</v>
      </c>
      <c r="L32" s="20">
        <f>SUMIFS('TUC Intl High Level Sales Plan'!EI:EI,'TUC Intl High Level Sales Plan'!$C:$C,'TUC International'!$B32,'TUC Intl High Level Sales Plan'!$D:$D,'TUC International'!$C32)</f>
        <v>0</v>
      </c>
      <c r="M32" s="20">
        <f>SUMIFS('TUC Intl High Level Sales Plan'!EJ:EJ,'TUC Intl High Level Sales Plan'!$C:$C,'TUC International'!$B32,'TUC Intl High Level Sales Plan'!$D:$D,'TUC International'!$C32)</f>
        <v>0</v>
      </c>
    </row>
    <row r="33" spans="2:13" ht="13.5" hidden="1" outlineLevel="1">
      <c r="B33" s="19" t="str">
        <f t="shared" ref="B33" si="3">B8</f>
        <v>United Kingdom</v>
      </c>
      <c r="C33" s="19" t="str">
        <f t="shared" si="1"/>
        <v>Yogurt</v>
      </c>
      <c r="D33" s="22">
        <f>SUMIFS('TUC Intl High Level Sales Plan'!EA:EA,'TUC Intl High Level Sales Plan'!$C:$C,'TUC International'!$B33,'TUC Intl High Level Sales Plan'!$D:$D,'TUC International'!$C33)</f>
        <v>0</v>
      </c>
      <c r="E33" s="22">
        <f>SUMIFS('TUC Intl High Level Sales Plan'!EB:EB,'TUC Intl High Level Sales Plan'!$C:$C,'TUC International'!$B33,'TUC Intl High Level Sales Plan'!$D:$D,'TUC International'!$C33)</f>
        <v>0</v>
      </c>
      <c r="F33" s="20">
        <f>SUMIFS('TUC Intl High Level Sales Plan'!EC:EC,'TUC Intl High Level Sales Plan'!$C:$C,'TUC International'!$B33,'TUC Intl High Level Sales Plan'!$D:$D,'TUC International'!$C33)</f>
        <v>0</v>
      </c>
      <c r="G33" s="20">
        <f>SUMIFS('TUC Intl High Level Sales Plan'!ED:ED,'TUC Intl High Level Sales Plan'!$C:$C,'TUC International'!$B33,'TUC Intl High Level Sales Plan'!$D:$D,'TUC International'!$C33)</f>
        <v>0</v>
      </c>
      <c r="H33" s="20">
        <f>SUMIFS('TUC Intl High Level Sales Plan'!EE:EE,'TUC Intl High Level Sales Plan'!$C:$C,'TUC International'!$B33,'TUC Intl High Level Sales Plan'!$D:$D,'TUC International'!$C33)</f>
        <v>0</v>
      </c>
      <c r="I33" s="20">
        <f>SUMIFS('TUC Intl High Level Sales Plan'!EF:EF,'TUC Intl High Level Sales Plan'!$C:$C,'TUC International'!$B33,'TUC Intl High Level Sales Plan'!$D:$D,'TUC International'!$C33)</f>
        <v>0</v>
      </c>
      <c r="J33" s="20">
        <f>SUMIFS('TUC Intl High Level Sales Plan'!EG:EG,'TUC Intl High Level Sales Plan'!$C:$C,'TUC International'!$B33,'TUC Intl High Level Sales Plan'!$D:$D,'TUC International'!$C33)</f>
        <v>0</v>
      </c>
      <c r="K33" s="20">
        <f>SUMIFS('TUC Intl High Level Sales Plan'!EH:EH,'TUC Intl High Level Sales Plan'!$C:$C,'TUC International'!$B33,'TUC Intl High Level Sales Plan'!$D:$D,'TUC International'!$C33)</f>
        <v>0</v>
      </c>
      <c r="L33" s="20">
        <f>SUMIFS('TUC Intl High Level Sales Plan'!EI:EI,'TUC Intl High Level Sales Plan'!$C:$C,'TUC International'!$B33,'TUC Intl High Level Sales Plan'!$D:$D,'TUC International'!$C33)</f>
        <v>0</v>
      </c>
      <c r="M33" s="20">
        <f>SUMIFS('TUC Intl High Level Sales Plan'!EJ:EJ,'TUC Intl High Level Sales Plan'!$C:$C,'TUC International'!$B33,'TUC Intl High Level Sales Plan'!$D:$D,'TUC International'!$C33)</f>
        <v>0</v>
      </c>
    </row>
    <row r="34" spans="2:13" ht="13.5" hidden="1" outlineLevel="1">
      <c r="B34" s="19" t="str">
        <f t="shared" ref="B34" si="4">B9</f>
        <v>United Kingdom</v>
      </c>
      <c r="C34" s="19" t="str">
        <f t="shared" si="1"/>
        <v>Sports Nutrition</v>
      </c>
      <c r="D34" s="22">
        <f>SUMIFS('TUC Intl High Level Sales Plan'!EA:EA,'TUC Intl High Level Sales Plan'!$C:$C,'TUC International'!$B34,'TUC Intl High Level Sales Plan'!$D:$D,'TUC International'!$C34)</f>
        <v>0</v>
      </c>
      <c r="E34" s="22">
        <f>SUMIFS('TUC Intl High Level Sales Plan'!EB:EB,'TUC Intl High Level Sales Plan'!$C:$C,'TUC International'!$B34,'TUC Intl High Level Sales Plan'!$D:$D,'TUC International'!$C34)</f>
        <v>0</v>
      </c>
      <c r="F34" s="20">
        <f>SUMIFS('TUC Intl High Level Sales Plan'!EC:EC,'TUC Intl High Level Sales Plan'!$C:$C,'TUC International'!$B34,'TUC Intl High Level Sales Plan'!$D:$D,'TUC International'!$C34)</f>
        <v>0</v>
      </c>
      <c r="G34" s="20">
        <f>SUMIFS('TUC Intl High Level Sales Plan'!ED:ED,'TUC Intl High Level Sales Plan'!$C:$C,'TUC International'!$B34,'TUC Intl High Level Sales Plan'!$D:$D,'TUC International'!$C34)</f>
        <v>0</v>
      </c>
      <c r="H34" s="20">
        <f>SUMIFS('TUC Intl High Level Sales Plan'!EE:EE,'TUC Intl High Level Sales Plan'!$C:$C,'TUC International'!$B34,'TUC Intl High Level Sales Plan'!$D:$D,'TUC International'!$C34)</f>
        <v>0</v>
      </c>
      <c r="I34" s="20">
        <f>SUMIFS('TUC Intl High Level Sales Plan'!EF:EF,'TUC Intl High Level Sales Plan'!$C:$C,'TUC International'!$B34,'TUC Intl High Level Sales Plan'!$D:$D,'TUC International'!$C34)</f>
        <v>0</v>
      </c>
      <c r="J34" s="20">
        <f>SUMIFS('TUC Intl High Level Sales Plan'!EG:EG,'TUC Intl High Level Sales Plan'!$C:$C,'TUC International'!$B34,'TUC Intl High Level Sales Plan'!$D:$D,'TUC International'!$C34)</f>
        <v>0</v>
      </c>
      <c r="K34" s="20">
        <f>SUMIFS('TUC Intl High Level Sales Plan'!EH:EH,'TUC Intl High Level Sales Plan'!$C:$C,'TUC International'!$B34,'TUC Intl High Level Sales Plan'!$D:$D,'TUC International'!$C34)</f>
        <v>0</v>
      </c>
      <c r="L34" s="20">
        <f>SUMIFS('TUC Intl High Level Sales Plan'!EI:EI,'TUC Intl High Level Sales Plan'!$C:$C,'TUC International'!$B34,'TUC Intl High Level Sales Plan'!$D:$D,'TUC International'!$C34)</f>
        <v>0</v>
      </c>
      <c r="M34" s="20">
        <f>SUMIFS('TUC Intl High Level Sales Plan'!EJ:EJ,'TUC Intl High Level Sales Plan'!$C:$C,'TUC International'!$B34,'TUC Intl High Level Sales Plan'!$D:$D,'TUC International'!$C34)</f>
        <v>0</v>
      </c>
    </row>
    <row r="35" spans="2:13" ht="13.5" hidden="1" outlineLevel="1">
      <c r="B35" s="19" t="str">
        <f t="shared" ref="B35" si="5">B10</f>
        <v>Germany</v>
      </c>
      <c r="C35" s="19" t="str">
        <f t="shared" si="1"/>
        <v>Ice Cream</v>
      </c>
      <c r="D35" s="22">
        <f>SUMIFS('TUC Intl High Level Sales Plan'!EA:EA,'TUC Intl High Level Sales Plan'!$C:$C,'TUC International'!$B35,'TUC Intl High Level Sales Plan'!$D:$D,'TUC International'!$C35)</f>
        <v>0</v>
      </c>
      <c r="E35" s="22">
        <f>SUMIFS('TUC Intl High Level Sales Plan'!EB:EB,'TUC Intl High Level Sales Plan'!$C:$C,'TUC International'!$B35,'TUC Intl High Level Sales Plan'!$D:$D,'TUC International'!$C35)</f>
        <v>0</v>
      </c>
      <c r="F35" s="20">
        <f>SUMIFS('TUC Intl High Level Sales Plan'!EC:EC,'TUC Intl High Level Sales Plan'!$C:$C,'TUC International'!$B35,'TUC Intl High Level Sales Plan'!$D:$D,'TUC International'!$C35)</f>
        <v>0</v>
      </c>
      <c r="G35" s="20">
        <f>SUMIFS('TUC Intl High Level Sales Plan'!ED:ED,'TUC Intl High Level Sales Plan'!$C:$C,'TUC International'!$B35,'TUC Intl High Level Sales Plan'!$D:$D,'TUC International'!$C35)</f>
        <v>0</v>
      </c>
      <c r="H35" s="20">
        <f>SUMIFS('TUC Intl High Level Sales Plan'!EE:EE,'TUC Intl High Level Sales Plan'!$C:$C,'TUC International'!$B35,'TUC Intl High Level Sales Plan'!$D:$D,'TUC International'!$C35)</f>
        <v>0</v>
      </c>
      <c r="I35" s="20">
        <f>SUMIFS('TUC Intl High Level Sales Plan'!EF:EF,'TUC Intl High Level Sales Plan'!$C:$C,'TUC International'!$B35,'TUC Intl High Level Sales Plan'!$D:$D,'TUC International'!$C35)</f>
        <v>0</v>
      </c>
      <c r="J35" s="20">
        <f>SUMIFS('TUC Intl High Level Sales Plan'!EG:EG,'TUC Intl High Level Sales Plan'!$C:$C,'TUC International'!$B35,'TUC Intl High Level Sales Plan'!$D:$D,'TUC International'!$C35)</f>
        <v>0</v>
      </c>
      <c r="K35" s="20">
        <f>SUMIFS('TUC Intl High Level Sales Plan'!EH:EH,'TUC Intl High Level Sales Plan'!$C:$C,'TUC International'!$B35,'TUC Intl High Level Sales Plan'!$D:$D,'TUC International'!$C35)</f>
        <v>0</v>
      </c>
      <c r="L35" s="20">
        <f>SUMIFS('TUC Intl High Level Sales Plan'!EI:EI,'TUC Intl High Level Sales Plan'!$C:$C,'TUC International'!$B35,'TUC Intl High Level Sales Plan'!$D:$D,'TUC International'!$C35)</f>
        <v>0</v>
      </c>
      <c r="M35" s="20">
        <f>SUMIFS('TUC Intl High Level Sales Plan'!EJ:EJ,'TUC Intl High Level Sales Plan'!$C:$C,'TUC International'!$B35,'TUC Intl High Level Sales Plan'!$D:$D,'TUC International'!$C35)</f>
        <v>0</v>
      </c>
    </row>
    <row r="36" spans="2:13" ht="13.5" hidden="1" outlineLevel="1">
      <c r="B36" s="19" t="str">
        <f t="shared" ref="B36" si="6">B11</f>
        <v>Germany</v>
      </c>
      <c r="C36" s="19" t="str">
        <f t="shared" si="1"/>
        <v>Milk</v>
      </c>
      <c r="D36" s="22">
        <f>SUMIFS('TUC Intl High Level Sales Plan'!EA:EA,'TUC Intl High Level Sales Plan'!$C:$C,'TUC International'!$B36,'TUC Intl High Level Sales Plan'!$D:$D,'TUC International'!$C36)</f>
        <v>0</v>
      </c>
      <c r="E36" s="22">
        <f>SUMIFS('TUC Intl High Level Sales Plan'!EB:EB,'TUC Intl High Level Sales Plan'!$C:$C,'TUC International'!$B36,'TUC Intl High Level Sales Plan'!$D:$D,'TUC International'!$C36)</f>
        <v>0</v>
      </c>
      <c r="F36" s="20">
        <f>SUMIFS('TUC Intl High Level Sales Plan'!EC:EC,'TUC Intl High Level Sales Plan'!$C:$C,'TUC International'!$B36,'TUC Intl High Level Sales Plan'!$D:$D,'TUC International'!$C36)</f>
        <v>0</v>
      </c>
      <c r="G36" s="20">
        <f>SUMIFS('TUC Intl High Level Sales Plan'!ED:ED,'TUC Intl High Level Sales Plan'!$C:$C,'TUC International'!$B36,'TUC Intl High Level Sales Plan'!$D:$D,'TUC International'!$C36)</f>
        <v>0</v>
      </c>
      <c r="H36" s="20">
        <f>SUMIFS('TUC Intl High Level Sales Plan'!EE:EE,'TUC Intl High Level Sales Plan'!$C:$C,'TUC International'!$B36,'TUC Intl High Level Sales Plan'!$D:$D,'TUC International'!$C36)</f>
        <v>0</v>
      </c>
      <c r="I36" s="20">
        <f>SUMIFS('TUC Intl High Level Sales Plan'!EF:EF,'TUC Intl High Level Sales Plan'!$C:$C,'TUC International'!$B36,'TUC Intl High Level Sales Plan'!$D:$D,'TUC International'!$C36)</f>
        <v>0</v>
      </c>
      <c r="J36" s="20">
        <f>SUMIFS('TUC Intl High Level Sales Plan'!EG:EG,'TUC Intl High Level Sales Plan'!$C:$C,'TUC International'!$B36,'TUC Intl High Level Sales Plan'!$D:$D,'TUC International'!$C36)</f>
        <v>0</v>
      </c>
      <c r="K36" s="20">
        <f>SUMIFS('TUC Intl High Level Sales Plan'!EH:EH,'TUC Intl High Level Sales Plan'!$C:$C,'TUC International'!$B36,'TUC Intl High Level Sales Plan'!$D:$D,'TUC International'!$C36)</f>
        <v>0</v>
      </c>
      <c r="L36" s="20">
        <f>SUMIFS('TUC Intl High Level Sales Plan'!EI:EI,'TUC Intl High Level Sales Plan'!$C:$C,'TUC International'!$B36,'TUC Intl High Level Sales Plan'!$D:$D,'TUC International'!$C36)</f>
        <v>0</v>
      </c>
      <c r="M36" s="20">
        <f>SUMIFS('TUC Intl High Level Sales Plan'!EJ:EJ,'TUC Intl High Level Sales Plan'!$C:$C,'TUC International'!$B36,'TUC Intl High Level Sales Plan'!$D:$D,'TUC International'!$C36)</f>
        <v>0</v>
      </c>
    </row>
    <row r="37" spans="2:13" ht="13.5" hidden="1" outlineLevel="1">
      <c r="B37" s="19" t="str">
        <f t="shared" ref="B37" si="7">B12</f>
        <v>Germany</v>
      </c>
      <c r="C37" s="19" t="str">
        <f t="shared" si="1"/>
        <v>Yogurt</v>
      </c>
      <c r="D37" s="22">
        <f>SUMIFS('TUC Intl High Level Sales Plan'!EA:EA,'TUC Intl High Level Sales Plan'!$C:$C,'TUC International'!$B37,'TUC Intl High Level Sales Plan'!$D:$D,'TUC International'!$C37)</f>
        <v>0</v>
      </c>
      <c r="E37" s="22">
        <f>SUMIFS('TUC Intl High Level Sales Plan'!EB:EB,'TUC Intl High Level Sales Plan'!$C:$C,'TUC International'!$B37,'TUC Intl High Level Sales Plan'!$D:$D,'TUC International'!$C37)</f>
        <v>0</v>
      </c>
      <c r="F37" s="20">
        <f>SUMIFS('TUC Intl High Level Sales Plan'!EC:EC,'TUC Intl High Level Sales Plan'!$C:$C,'TUC International'!$B37,'TUC Intl High Level Sales Plan'!$D:$D,'TUC International'!$C37)</f>
        <v>0</v>
      </c>
      <c r="G37" s="20">
        <f>SUMIFS('TUC Intl High Level Sales Plan'!ED:ED,'TUC Intl High Level Sales Plan'!$C:$C,'TUC International'!$B37,'TUC Intl High Level Sales Plan'!$D:$D,'TUC International'!$C37)</f>
        <v>0</v>
      </c>
      <c r="H37" s="20">
        <f>SUMIFS('TUC Intl High Level Sales Plan'!EE:EE,'TUC Intl High Level Sales Plan'!$C:$C,'TUC International'!$B37,'TUC Intl High Level Sales Plan'!$D:$D,'TUC International'!$C37)</f>
        <v>0</v>
      </c>
      <c r="I37" s="20">
        <f>SUMIFS('TUC Intl High Level Sales Plan'!EF:EF,'TUC Intl High Level Sales Plan'!$C:$C,'TUC International'!$B37,'TUC Intl High Level Sales Plan'!$D:$D,'TUC International'!$C37)</f>
        <v>0</v>
      </c>
      <c r="J37" s="20">
        <f>SUMIFS('TUC Intl High Level Sales Plan'!EG:EG,'TUC Intl High Level Sales Plan'!$C:$C,'TUC International'!$B37,'TUC Intl High Level Sales Plan'!$D:$D,'TUC International'!$C37)</f>
        <v>0</v>
      </c>
      <c r="K37" s="20">
        <f>SUMIFS('TUC Intl High Level Sales Plan'!EH:EH,'TUC Intl High Level Sales Plan'!$C:$C,'TUC International'!$B37,'TUC Intl High Level Sales Plan'!$D:$D,'TUC International'!$C37)</f>
        <v>0</v>
      </c>
      <c r="L37" s="20">
        <f>SUMIFS('TUC Intl High Level Sales Plan'!EI:EI,'TUC Intl High Level Sales Plan'!$C:$C,'TUC International'!$B37,'TUC Intl High Level Sales Plan'!$D:$D,'TUC International'!$C37)</f>
        <v>0</v>
      </c>
      <c r="M37" s="20">
        <f>SUMIFS('TUC Intl High Level Sales Plan'!EJ:EJ,'TUC Intl High Level Sales Plan'!$C:$C,'TUC International'!$B37,'TUC Intl High Level Sales Plan'!$D:$D,'TUC International'!$C37)</f>
        <v>0</v>
      </c>
    </row>
    <row r="38" spans="2:13" ht="13.5" hidden="1" outlineLevel="1">
      <c r="B38" s="19" t="str">
        <f t="shared" ref="B38" si="8">B13</f>
        <v>Germany</v>
      </c>
      <c r="C38" s="19" t="str">
        <f t="shared" si="1"/>
        <v>Sports Nutrition</v>
      </c>
      <c r="D38" s="22">
        <f>SUMIFS('TUC Intl High Level Sales Plan'!EA:EA,'TUC Intl High Level Sales Plan'!$C:$C,'TUC International'!$B38,'TUC Intl High Level Sales Plan'!$D:$D,'TUC International'!$C38)</f>
        <v>0</v>
      </c>
      <c r="E38" s="22">
        <f>SUMIFS('TUC Intl High Level Sales Plan'!EB:EB,'TUC Intl High Level Sales Plan'!$C:$C,'TUC International'!$B38,'TUC Intl High Level Sales Plan'!$D:$D,'TUC International'!$C38)</f>
        <v>0</v>
      </c>
      <c r="F38" s="20">
        <f>SUMIFS('TUC Intl High Level Sales Plan'!EC:EC,'TUC Intl High Level Sales Plan'!$C:$C,'TUC International'!$B38,'TUC Intl High Level Sales Plan'!$D:$D,'TUC International'!$C38)</f>
        <v>0</v>
      </c>
      <c r="G38" s="20">
        <f>SUMIFS('TUC Intl High Level Sales Plan'!ED:ED,'TUC Intl High Level Sales Plan'!$C:$C,'TUC International'!$B38,'TUC Intl High Level Sales Plan'!$D:$D,'TUC International'!$C38)</f>
        <v>0</v>
      </c>
      <c r="H38" s="20">
        <f>SUMIFS('TUC Intl High Level Sales Plan'!EE:EE,'TUC Intl High Level Sales Plan'!$C:$C,'TUC International'!$B38,'TUC Intl High Level Sales Plan'!$D:$D,'TUC International'!$C38)</f>
        <v>0</v>
      </c>
      <c r="I38" s="20">
        <f>SUMIFS('TUC Intl High Level Sales Plan'!EF:EF,'TUC Intl High Level Sales Plan'!$C:$C,'TUC International'!$B38,'TUC Intl High Level Sales Plan'!$D:$D,'TUC International'!$C38)</f>
        <v>0</v>
      </c>
      <c r="J38" s="20">
        <f>SUMIFS('TUC Intl High Level Sales Plan'!EG:EG,'TUC Intl High Level Sales Plan'!$C:$C,'TUC International'!$B38,'TUC Intl High Level Sales Plan'!$D:$D,'TUC International'!$C38)</f>
        <v>0</v>
      </c>
      <c r="K38" s="20">
        <f>SUMIFS('TUC Intl High Level Sales Plan'!EH:EH,'TUC Intl High Level Sales Plan'!$C:$C,'TUC International'!$B38,'TUC Intl High Level Sales Plan'!$D:$D,'TUC International'!$C38)</f>
        <v>0</v>
      </c>
      <c r="L38" s="20">
        <f>SUMIFS('TUC Intl High Level Sales Plan'!EI:EI,'TUC Intl High Level Sales Plan'!$C:$C,'TUC International'!$B38,'TUC Intl High Level Sales Plan'!$D:$D,'TUC International'!$C38)</f>
        <v>0</v>
      </c>
      <c r="M38" s="20">
        <f>SUMIFS('TUC Intl High Level Sales Plan'!EJ:EJ,'TUC Intl High Level Sales Plan'!$C:$C,'TUC International'!$B38,'TUC Intl High Level Sales Plan'!$D:$D,'TUC International'!$C38)</f>
        <v>0</v>
      </c>
    </row>
    <row r="39" spans="2:13" ht="13.5" hidden="1" outlineLevel="1">
      <c r="B39" s="19" t="str">
        <f t="shared" ref="B39" si="9">B14</f>
        <v>Australia</v>
      </c>
      <c r="C39" s="19" t="str">
        <f t="shared" si="1"/>
        <v>Ice Cream</v>
      </c>
      <c r="D39" s="22">
        <f>SUMIFS('TUC Intl High Level Sales Plan'!EA:EA,'TUC Intl High Level Sales Plan'!$C:$C,'TUC International'!$B39,'TUC Intl High Level Sales Plan'!$D:$D,'TUC International'!$C39)</f>
        <v>0</v>
      </c>
      <c r="E39" s="22">
        <f>SUMIFS('TUC Intl High Level Sales Plan'!EB:EB,'TUC Intl High Level Sales Plan'!$C:$C,'TUC International'!$B39,'TUC Intl High Level Sales Plan'!$D:$D,'TUC International'!$C39)</f>
        <v>0</v>
      </c>
      <c r="F39" s="20">
        <f>SUMIFS('TUC Intl High Level Sales Plan'!EC:EC,'TUC Intl High Level Sales Plan'!$C:$C,'TUC International'!$B39,'TUC Intl High Level Sales Plan'!$D:$D,'TUC International'!$C39)</f>
        <v>0</v>
      </c>
      <c r="G39" s="20">
        <f>SUMIFS('TUC Intl High Level Sales Plan'!ED:ED,'TUC Intl High Level Sales Plan'!$C:$C,'TUC International'!$B39,'TUC Intl High Level Sales Plan'!$D:$D,'TUC International'!$C39)</f>
        <v>0</v>
      </c>
      <c r="H39" s="20">
        <f>SUMIFS('TUC Intl High Level Sales Plan'!EE:EE,'TUC Intl High Level Sales Plan'!$C:$C,'TUC International'!$B39,'TUC Intl High Level Sales Plan'!$D:$D,'TUC International'!$C39)</f>
        <v>0</v>
      </c>
      <c r="I39" s="20">
        <f>SUMIFS('TUC Intl High Level Sales Plan'!EF:EF,'TUC Intl High Level Sales Plan'!$C:$C,'TUC International'!$B39,'TUC Intl High Level Sales Plan'!$D:$D,'TUC International'!$C39)</f>
        <v>0</v>
      </c>
      <c r="J39" s="20">
        <f>SUMIFS('TUC Intl High Level Sales Plan'!EG:EG,'TUC Intl High Level Sales Plan'!$C:$C,'TUC International'!$B39,'TUC Intl High Level Sales Plan'!$D:$D,'TUC International'!$C39)</f>
        <v>0</v>
      </c>
      <c r="K39" s="20">
        <f>SUMIFS('TUC Intl High Level Sales Plan'!EH:EH,'TUC Intl High Level Sales Plan'!$C:$C,'TUC International'!$B39,'TUC Intl High Level Sales Plan'!$D:$D,'TUC International'!$C39)</f>
        <v>0</v>
      </c>
      <c r="L39" s="20">
        <f>SUMIFS('TUC Intl High Level Sales Plan'!EI:EI,'TUC Intl High Level Sales Plan'!$C:$C,'TUC International'!$B39,'TUC Intl High Level Sales Plan'!$D:$D,'TUC International'!$C39)</f>
        <v>0</v>
      </c>
      <c r="M39" s="20">
        <f>SUMIFS('TUC Intl High Level Sales Plan'!EJ:EJ,'TUC Intl High Level Sales Plan'!$C:$C,'TUC International'!$B39,'TUC Intl High Level Sales Plan'!$D:$D,'TUC International'!$C39)</f>
        <v>0</v>
      </c>
    </row>
    <row r="40" spans="2:13" ht="13.5" hidden="1" outlineLevel="1">
      <c r="B40" s="19" t="str">
        <f t="shared" ref="B40" si="10">B15</f>
        <v>Australia</v>
      </c>
      <c r="C40" s="19" t="str">
        <f t="shared" si="1"/>
        <v>Milk</v>
      </c>
      <c r="D40" s="22">
        <f>SUMIFS('TUC Intl High Level Sales Plan'!EA:EA,'TUC Intl High Level Sales Plan'!$C:$C,'TUC International'!$B40,'TUC Intl High Level Sales Plan'!$D:$D,'TUC International'!$C40)</f>
        <v>0</v>
      </c>
      <c r="E40" s="22">
        <f>SUMIFS('TUC Intl High Level Sales Plan'!EB:EB,'TUC Intl High Level Sales Plan'!$C:$C,'TUC International'!$B40,'TUC Intl High Level Sales Plan'!$D:$D,'TUC International'!$C40)</f>
        <v>0</v>
      </c>
      <c r="F40" s="20">
        <f>SUMIFS('TUC Intl High Level Sales Plan'!EC:EC,'TUC Intl High Level Sales Plan'!$C:$C,'TUC International'!$B40,'TUC Intl High Level Sales Plan'!$D:$D,'TUC International'!$C40)</f>
        <v>0</v>
      </c>
      <c r="G40" s="20">
        <f>SUMIFS('TUC Intl High Level Sales Plan'!ED:ED,'TUC Intl High Level Sales Plan'!$C:$C,'TUC International'!$B40,'TUC Intl High Level Sales Plan'!$D:$D,'TUC International'!$C40)</f>
        <v>0</v>
      </c>
      <c r="H40" s="20">
        <f>SUMIFS('TUC Intl High Level Sales Plan'!EE:EE,'TUC Intl High Level Sales Plan'!$C:$C,'TUC International'!$B40,'TUC Intl High Level Sales Plan'!$D:$D,'TUC International'!$C40)</f>
        <v>0</v>
      </c>
      <c r="I40" s="20">
        <f>SUMIFS('TUC Intl High Level Sales Plan'!EF:EF,'TUC Intl High Level Sales Plan'!$C:$C,'TUC International'!$B40,'TUC Intl High Level Sales Plan'!$D:$D,'TUC International'!$C40)</f>
        <v>0</v>
      </c>
      <c r="J40" s="20">
        <f>SUMIFS('TUC Intl High Level Sales Plan'!EG:EG,'TUC Intl High Level Sales Plan'!$C:$C,'TUC International'!$B40,'TUC Intl High Level Sales Plan'!$D:$D,'TUC International'!$C40)</f>
        <v>0</v>
      </c>
      <c r="K40" s="20">
        <f>SUMIFS('TUC Intl High Level Sales Plan'!EH:EH,'TUC Intl High Level Sales Plan'!$C:$C,'TUC International'!$B40,'TUC Intl High Level Sales Plan'!$D:$D,'TUC International'!$C40)</f>
        <v>0</v>
      </c>
      <c r="L40" s="20">
        <f>SUMIFS('TUC Intl High Level Sales Plan'!EI:EI,'TUC Intl High Level Sales Plan'!$C:$C,'TUC International'!$B40,'TUC Intl High Level Sales Plan'!$D:$D,'TUC International'!$C40)</f>
        <v>0</v>
      </c>
      <c r="M40" s="20">
        <f>SUMIFS('TUC Intl High Level Sales Plan'!EJ:EJ,'TUC Intl High Level Sales Plan'!$C:$C,'TUC International'!$B40,'TUC Intl High Level Sales Plan'!$D:$D,'TUC International'!$C40)</f>
        <v>0</v>
      </c>
    </row>
    <row r="41" spans="2:13" ht="13.5" hidden="1" outlineLevel="1">
      <c r="B41" s="19" t="str">
        <f t="shared" ref="B41" si="11">B16</f>
        <v>Australia</v>
      </c>
      <c r="C41" s="19" t="str">
        <f t="shared" si="1"/>
        <v>Yogurt</v>
      </c>
      <c r="D41" s="22">
        <f>SUMIFS('TUC Intl High Level Sales Plan'!EA:EA,'TUC Intl High Level Sales Plan'!$C:$C,'TUC International'!$B41,'TUC Intl High Level Sales Plan'!$D:$D,'TUC International'!$C41)</f>
        <v>0</v>
      </c>
      <c r="E41" s="22">
        <f>SUMIFS('TUC Intl High Level Sales Plan'!EB:EB,'TUC Intl High Level Sales Plan'!$C:$C,'TUC International'!$B41,'TUC Intl High Level Sales Plan'!$D:$D,'TUC International'!$C41)</f>
        <v>0</v>
      </c>
      <c r="F41" s="20">
        <f>SUMIFS('TUC Intl High Level Sales Plan'!EC:EC,'TUC Intl High Level Sales Plan'!$C:$C,'TUC International'!$B41,'TUC Intl High Level Sales Plan'!$D:$D,'TUC International'!$C41)</f>
        <v>0</v>
      </c>
      <c r="G41" s="20">
        <f>SUMIFS('TUC Intl High Level Sales Plan'!ED:ED,'TUC Intl High Level Sales Plan'!$C:$C,'TUC International'!$B41,'TUC Intl High Level Sales Plan'!$D:$D,'TUC International'!$C41)</f>
        <v>0</v>
      </c>
      <c r="H41" s="20">
        <f>SUMIFS('TUC Intl High Level Sales Plan'!EE:EE,'TUC Intl High Level Sales Plan'!$C:$C,'TUC International'!$B41,'TUC Intl High Level Sales Plan'!$D:$D,'TUC International'!$C41)</f>
        <v>0</v>
      </c>
      <c r="I41" s="20">
        <f>SUMIFS('TUC Intl High Level Sales Plan'!EF:EF,'TUC Intl High Level Sales Plan'!$C:$C,'TUC International'!$B41,'TUC Intl High Level Sales Plan'!$D:$D,'TUC International'!$C41)</f>
        <v>0</v>
      </c>
      <c r="J41" s="20">
        <f>SUMIFS('TUC Intl High Level Sales Plan'!EG:EG,'TUC Intl High Level Sales Plan'!$C:$C,'TUC International'!$B41,'TUC Intl High Level Sales Plan'!$D:$D,'TUC International'!$C41)</f>
        <v>0</v>
      </c>
      <c r="K41" s="20">
        <f>SUMIFS('TUC Intl High Level Sales Plan'!EH:EH,'TUC Intl High Level Sales Plan'!$C:$C,'TUC International'!$B41,'TUC Intl High Level Sales Plan'!$D:$D,'TUC International'!$C41)</f>
        <v>0</v>
      </c>
      <c r="L41" s="20">
        <f>SUMIFS('TUC Intl High Level Sales Plan'!EI:EI,'TUC Intl High Level Sales Plan'!$C:$C,'TUC International'!$B41,'TUC Intl High Level Sales Plan'!$D:$D,'TUC International'!$C41)</f>
        <v>0</v>
      </c>
      <c r="M41" s="20">
        <f>SUMIFS('TUC Intl High Level Sales Plan'!EJ:EJ,'TUC Intl High Level Sales Plan'!$C:$C,'TUC International'!$B41,'TUC Intl High Level Sales Plan'!$D:$D,'TUC International'!$C41)</f>
        <v>0</v>
      </c>
    </row>
    <row r="42" spans="2:13" ht="13.5" hidden="1" outlineLevel="1">
      <c r="B42" s="19" t="str">
        <f t="shared" ref="B42" si="12">B17</f>
        <v>Australia</v>
      </c>
      <c r="C42" s="19" t="str">
        <f t="shared" si="1"/>
        <v>Sports Nutrition</v>
      </c>
      <c r="D42" s="22">
        <f>SUMIFS('TUC Intl High Level Sales Plan'!EA:EA,'TUC Intl High Level Sales Plan'!$C:$C,'TUC International'!$B42,'TUC Intl High Level Sales Plan'!$D:$D,'TUC International'!$C42)</f>
        <v>0</v>
      </c>
      <c r="E42" s="22">
        <f>SUMIFS('TUC Intl High Level Sales Plan'!EB:EB,'TUC Intl High Level Sales Plan'!$C:$C,'TUC International'!$B42,'TUC Intl High Level Sales Plan'!$D:$D,'TUC International'!$C42)</f>
        <v>0</v>
      </c>
      <c r="F42" s="20">
        <f>SUMIFS('TUC Intl High Level Sales Plan'!EC:EC,'TUC Intl High Level Sales Plan'!$C:$C,'TUC International'!$B42,'TUC Intl High Level Sales Plan'!$D:$D,'TUC International'!$C42)</f>
        <v>0</v>
      </c>
      <c r="G42" s="20">
        <f>SUMIFS('TUC Intl High Level Sales Plan'!ED:ED,'TUC Intl High Level Sales Plan'!$C:$C,'TUC International'!$B42,'TUC Intl High Level Sales Plan'!$D:$D,'TUC International'!$C42)</f>
        <v>0</v>
      </c>
      <c r="H42" s="20">
        <f>SUMIFS('TUC Intl High Level Sales Plan'!EE:EE,'TUC Intl High Level Sales Plan'!$C:$C,'TUC International'!$B42,'TUC Intl High Level Sales Plan'!$D:$D,'TUC International'!$C42)</f>
        <v>0</v>
      </c>
      <c r="I42" s="20">
        <f>SUMIFS('TUC Intl High Level Sales Plan'!EF:EF,'TUC Intl High Level Sales Plan'!$C:$C,'TUC International'!$B42,'TUC Intl High Level Sales Plan'!$D:$D,'TUC International'!$C42)</f>
        <v>0</v>
      </c>
      <c r="J42" s="20">
        <f>SUMIFS('TUC Intl High Level Sales Plan'!EG:EG,'TUC Intl High Level Sales Plan'!$C:$C,'TUC International'!$B42,'TUC Intl High Level Sales Plan'!$D:$D,'TUC International'!$C42)</f>
        <v>0</v>
      </c>
      <c r="K42" s="20">
        <f>SUMIFS('TUC Intl High Level Sales Plan'!EH:EH,'TUC Intl High Level Sales Plan'!$C:$C,'TUC International'!$B42,'TUC Intl High Level Sales Plan'!$D:$D,'TUC International'!$C42)</f>
        <v>0</v>
      </c>
      <c r="L42" s="20">
        <f>SUMIFS('TUC Intl High Level Sales Plan'!EI:EI,'TUC Intl High Level Sales Plan'!$C:$C,'TUC International'!$B42,'TUC Intl High Level Sales Plan'!$D:$D,'TUC International'!$C42)</f>
        <v>0</v>
      </c>
      <c r="M42" s="20">
        <f>SUMIFS('TUC Intl High Level Sales Plan'!EJ:EJ,'TUC Intl High Level Sales Plan'!$C:$C,'TUC International'!$B42,'TUC Intl High Level Sales Plan'!$D:$D,'TUC International'!$C42)</f>
        <v>0</v>
      </c>
    </row>
    <row r="43" spans="2:13" ht="13.5" hidden="1" outlineLevel="1">
      <c r="B43" s="19" t="str">
        <f t="shared" ref="B43" si="13">B18</f>
        <v>New Zealand</v>
      </c>
      <c r="C43" s="19" t="str">
        <f t="shared" si="1"/>
        <v>Ice Cream</v>
      </c>
      <c r="D43" s="22">
        <f>SUMIFS('TUC Intl High Level Sales Plan'!EA:EA,'TUC Intl High Level Sales Plan'!$C:$C,'TUC International'!$B43,'TUC Intl High Level Sales Plan'!$D:$D,'TUC International'!$C43)</f>
        <v>0</v>
      </c>
      <c r="E43" s="22">
        <f>SUMIFS('TUC Intl High Level Sales Plan'!EB:EB,'TUC Intl High Level Sales Plan'!$C:$C,'TUC International'!$B43,'TUC Intl High Level Sales Plan'!$D:$D,'TUC International'!$C43)</f>
        <v>0</v>
      </c>
      <c r="F43" s="20">
        <f>SUMIFS('TUC Intl High Level Sales Plan'!EC:EC,'TUC Intl High Level Sales Plan'!$C:$C,'TUC International'!$B43,'TUC Intl High Level Sales Plan'!$D:$D,'TUC International'!$C43)</f>
        <v>0</v>
      </c>
      <c r="G43" s="20">
        <f>SUMIFS('TUC Intl High Level Sales Plan'!ED:ED,'TUC Intl High Level Sales Plan'!$C:$C,'TUC International'!$B43,'TUC Intl High Level Sales Plan'!$D:$D,'TUC International'!$C43)</f>
        <v>0</v>
      </c>
      <c r="H43" s="20">
        <f>SUMIFS('TUC Intl High Level Sales Plan'!EE:EE,'TUC Intl High Level Sales Plan'!$C:$C,'TUC International'!$B43,'TUC Intl High Level Sales Plan'!$D:$D,'TUC International'!$C43)</f>
        <v>0</v>
      </c>
      <c r="I43" s="20">
        <f>SUMIFS('TUC Intl High Level Sales Plan'!EF:EF,'TUC Intl High Level Sales Plan'!$C:$C,'TUC International'!$B43,'TUC Intl High Level Sales Plan'!$D:$D,'TUC International'!$C43)</f>
        <v>0</v>
      </c>
      <c r="J43" s="20">
        <f>SUMIFS('TUC Intl High Level Sales Plan'!EG:EG,'TUC Intl High Level Sales Plan'!$C:$C,'TUC International'!$B43,'TUC Intl High Level Sales Plan'!$D:$D,'TUC International'!$C43)</f>
        <v>0</v>
      </c>
      <c r="K43" s="20">
        <f>SUMIFS('TUC Intl High Level Sales Plan'!EH:EH,'TUC Intl High Level Sales Plan'!$C:$C,'TUC International'!$B43,'TUC Intl High Level Sales Plan'!$D:$D,'TUC International'!$C43)</f>
        <v>0</v>
      </c>
      <c r="L43" s="20">
        <f>SUMIFS('TUC Intl High Level Sales Plan'!EI:EI,'TUC Intl High Level Sales Plan'!$C:$C,'TUC International'!$B43,'TUC Intl High Level Sales Plan'!$D:$D,'TUC International'!$C43)</f>
        <v>0</v>
      </c>
      <c r="M43" s="20">
        <f>SUMIFS('TUC Intl High Level Sales Plan'!EJ:EJ,'TUC Intl High Level Sales Plan'!$C:$C,'TUC International'!$B43,'TUC Intl High Level Sales Plan'!$D:$D,'TUC International'!$C43)</f>
        <v>0</v>
      </c>
    </row>
    <row r="44" spans="2:13" ht="13.5" hidden="1" outlineLevel="1">
      <c r="B44" s="19" t="str">
        <f t="shared" ref="B44" si="14">B19</f>
        <v>New Zealand</v>
      </c>
      <c r="C44" s="19" t="str">
        <f t="shared" si="1"/>
        <v>Milk</v>
      </c>
      <c r="D44" s="22">
        <f>SUMIFS('TUC Intl High Level Sales Plan'!EA:EA,'TUC Intl High Level Sales Plan'!$C:$C,'TUC International'!$B44,'TUC Intl High Level Sales Plan'!$D:$D,'TUC International'!$C44)</f>
        <v>0</v>
      </c>
      <c r="E44" s="22">
        <f>SUMIFS('TUC Intl High Level Sales Plan'!EB:EB,'TUC Intl High Level Sales Plan'!$C:$C,'TUC International'!$B44,'TUC Intl High Level Sales Plan'!$D:$D,'TUC International'!$C44)</f>
        <v>0</v>
      </c>
      <c r="F44" s="20">
        <f>SUMIFS('TUC Intl High Level Sales Plan'!EC:EC,'TUC Intl High Level Sales Plan'!$C:$C,'TUC International'!$B44,'TUC Intl High Level Sales Plan'!$D:$D,'TUC International'!$C44)</f>
        <v>0</v>
      </c>
      <c r="G44" s="20">
        <f>SUMIFS('TUC Intl High Level Sales Plan'!ED:ED,'TUC Intl High Level Sales Plan'!$C:$C,'TUC International'!$B44,'TUC Intl High Level Sales Plan'!$D:$D,'TUC International'!$C44)</f>
        <v>0</v>
      </c>
      <c r="H44" s="20">
        <f>SUMIFS('TUC Intl High Level Sales Plan'!EE:EE,'TUC Intl High Level Sales Plan'!$C:$C,'TUC International'!$B44,'TUC Intl High Level Sales Plan'!$D:$D,'TUC International'!$C44)</f>
        <v>0</v>
      </c>
      <c r="I44" s="20">
        <f>SUMIFS('TUC Intl High Level Sales Plan'!EF:EF,'TUC Intl High Level Sales Plan'!$C:$C,'TUC International'!$B44,'TUC Intl High Level Sales Plan'!$D:$D,'TUC International'!$C44)</f>
        <v>0</v>
      </c>
      <c r="J44" s="20">
        <f>SUMIFS('TUC Intl High Level Sales Plan'!EG:EG,'TUC Intl High Level Sales Plan'!$C:$C,'TUC International'!$B44,'TUC Intl High Level Sales Plan'!$D:$D,'TUC International'!$C44)</f>
        <v>0</v>
      </c>
      <c r="K44" s="20">
        <f>SUMIFS('TUC Intl High Level Sales Plan'!EH:EH,'TUC Intl High Level Sales Plan'!$C:$C,'TUC International'!$B44,'TUC Intl High Level Sales Plan'!$D:$D,'TUC International'!$C44)</f>
        <v>0</v>
      </c>
      <c r="L44" s="20">
        <f>SUMIFS('TUC Intl High Level Sales Plan'!EI:EI,'TUC Intl High Level Sales Plan'!$C:$C,'TUC International'!$B44,'TUC Intl High Level Sales Plan'!$D:$D,'TUC International'!$C44)</f>
        <v>0</v>
      </c>
      <c r="M44" s="20">
        <f>SUMIFS('TUC Intl High Level Sales Plan'!EJ:EJ,'TUC Intl High Level Sales Plan'!$C:$C,'TUC International'!$B44,'TUC Intl High Level Sales Plan'!$D:$D,'TUC International'!$C44)</f>
        <v>0</v>
      </c>
    </row>
    <row r="45" spans="2:13" ht="13.5" hidden="1" outlineLevel="1">
      <c r="B45" s="19" t="str">
        <f t="shared" ref="B45" si="15">B20</f>
        <v>New Zealand</v>
      </c>
      <c r="C45" s="19" t="str">
        <f t="shared" si="1"/>
        <v>Yogurt</v>
      </c>
      <c r="D45" s="22">
        <f>SUMIFS('TUC Intl High Level Sales Plan'!EA:EA,'TUC Intl High Level Sales Plan'!$C:$C,'TUC International'!$B45,'TUC Intl High Level Sales Plan'!$D:$D,'TUC International'!$C45)</f>
        <v>0</v>
      </c>
      <c r="E45" s="22">
        <f>SUMIFS('TUC Intl High Level Sales Plan'!EB:EB,'TUC Intl High Level Sales Plan'!$C:$C,'TUC International'!$B45,'TUC Intl High Level Sales Plan'!$D:$D,'TUC International'!$C45)</f>
        <v>0</v>
      </c>
      <c r="F45" s="20">
        <f>SUMIFS('TUC Intl High Level Sales Plan'!EC:EC,'TUC Intl High Level Sales Plan'!$C:$C,'TUC International'!$B45,'TUC Intl High Level Sales Plan'!$D:$D,'TUC International'!$C45)</f>
        <v>0</v>
      </c>
      <c r="G45" s="20">
        <f>SUMIFS('TUC Intl High Level Sales Plan'!ED:ED,'TUC Intl High Level Sales Plan'!$C:$C,'TUC International'!$B45,'TUC Intl High Level Sales Plan'!$D:$D,'TUC International'!$C45)</f>
        <v>0</v>
      </c>
      <c r="H45" s="20">
        <f>SUMIFS('TUC Intl High Level Sales Plan'!EE:EE,'TUC Intl High Level Sales Plan'!$C:$C,'TUC International'!$B45,'TUC Intl High Level Sales Plan'!$D:$D,'TUC International'!$C45)</f>
        <v>0</v>
      </c>
      <c r="I45" s="20">
        <f>SUMIFS('TUC Intl High Level Sales Plan'!EF:EF,'TUC Intl High Level Sales Plan'!$C:$C,'TUC International'!$B45,'TUC Intl High Level Sales Plan'!$D:$D,'TUC International'!$C45)</f>
        <v>0</v>
      </c>
      <c r="J45" s="20">
        <f>SUMIFS('TUC Intl High Level Sales Plan'!EG:EG,'TUC Intl High Level Sales Plan'!$C:$C,'TUC International'!$B45,'TUC Intl High Level Sales Plan'!$D:$D,'TUC International'!$C45)</f>
        <v>0</v>
      </c>
      <c r="K45" s="20">
        <f>SUMIFS('TUC Intl High Level Sales Plan'!EH:EH,'TUC Intl High Level Sales Plan'!$C:$C,'TUC International'!$B45,'TUC Intl High Level Sales Plan'!$D:$D,'TUC International'!$C45)</f>
        <v>0</v>
      </c>
      <c r="L45" s="20">
        <f>SUMIFS('TUC Intl High Level Sales Plan'!EI:EI,'TUC Intl High Level Sales Plan'!$C:$C,'TUC International'!$B45,'TUC Intl High Level Sales Plan'!$D:$D,'TUC International'!$C45)</f>
        <v>0</v>
      </c>
      <c r="M45" s="20">
        <f>SUMIFS('TUC Intl High Level Sales Plan'!EJ:EJ,'TUC Intl High Level Sales Plan'!$C:$C,'TUC International'!$B45,'TUC Intl High Level Sales Plan'!$D:$D,'TUC International'!$C45)</f>
        <v>0</v>
      </c>
    </row>
    <row r="46" spans="2:13" ht="13.5" hidden="1" outlineLevel="1">
      <c r="B46" s="19" t="str">
        <f t="shared" ref="B46" si="16">B21</f>
        <v>New Zealand</v>
      </c>
      <c r="C46" s="19" t="str">
        <f t="shared" si="1"/>
        <v>Sports Nutrition</v>
      </c>
      <c r="D46" s="22">
        <f>SUMIFS('TUC Intl High Level Sales Plan'!EA:EA,'TUC Intl High Level Sales Plan'!$C:$C,'TUC International'!$B46,'TUC Intl High Level Sales Plan'!$D:$D,'TUC International'!$C46)</f>
        <v>0</v>
      </c>
      <c r="E46" s="22">
        <f>SUMIFS('TUC Intl High Level Sales Plan'!EB:EB,'TUC Intl High Level Sales Plan'!$C:$C,'TUC International'!$B46,'TUC Intl High Level Sales Plan'!$D:$D,'TUC International'!$C46)</f>
        <v>0</v>
      </c>
      <c r="F46" s="20">
        <f>SUMIFS('TUC Intl High Level Sales Plan'!EC:EC,'TUC Intl High Level Sales Plan'!$C:$C,'TUC International'!$B46,'TUC Intl High Level Sales Plan'!$D:$D,'TUC International'!$C46)</f>
        <v>0</v>
      </c>
      <c r="G46" s="20">
        <f>SUMIFS('TUC Intl High Level Sales Plan'!ED:ED,'TUC Intl High Level Sales Plan'!$C:$C,'TUC International'!$B46,'TUC Intl High Level Sales Plan'!$D:$D,'TUC International'!$C46)</f>
        <v>0</v>
      </c>
      <c r="H46" s="20">
        <f>SUMIFS('TUC Intl High Level Sales Plan'!EE:EE,'TUC Intl High Level Sales Plan'!$C:$C,'TUC International'!$B46,'TUC Intl High Level Sales Plan'!$D:$D,'TUC International'!$C46)</f>
        <v>0</v>
      </c>
      <c r="I46" s="20">
        <f>SUMIFS('TUC Intl High Level Sales Plan'!EF:EF,'TUC Intl High Level Sales Plan'!$C:$C,'TUC International'!$B46,'TUC Intl High Level Sales Plan'!$D:$D,'TUC International'!$C46)</f>
        <v>0</v>
      </c>
      <c r="J46" s="20">
        <f>SUMIFS('TUC Intl High Level Sales Plan'!EG:EG,'TUC Intl High Level Sales Plan'!$C:$C,'TUC International'!$B46,'TUC Intl High Level Sales Plan'!$D:$D,'TUC International'!$C46)</f>
        <v>0</v>
      </c>
      <c r="K46" s="20">
        <f>SUMIFS('TUC Intl High Level Sales Plan'!EH:EH,'TUC Intl High Level Sales Plan'!$C:$C,'TUC International'!$B46,'TUC Intl High Level Sales Plan'!$D:$D,'TUC International'!$C46)</f>
        <v>0</v>
      </c>
      <c r="L46" s="20">
        <f>SUMIFS('TUC Intl High Level Sales Plan'!EI:EI,'TUC Intl High Level Sales Plan'!$C:$C,'TUC International'!$B46,'TUC Intl High Level Sales Plan'!$D:$D,'TUC International'!$C46)</f>
        <v>0</v>
      </c>
      <c r="M46" s="20">
        <f>SUMIFS('TUC Intl High Level Sales Plan'!EJ:EJ,'TUC Intl High Level Sales Plan'!$C:$C,'TUC International'!$B46,'TUC Intl High Level Sales Plan'!$D:$D,'TUC International'!$C46)</f>
        <v>0</v>
      </c>
    </row>
    <row r="47" spans="2:13" ht="13.5" hidden="1" outlineLevel="1">
      <c r="B47" s="19">
        <f t="shared" ref="B47" si="17">B22</f>
        <v>0</v>
      </c>
      <c r="C47" s="19">
        <f t="shared" si="1"/>
        <v>0</v>
      </c>
      <c r="D47" s="22">
        <f>SUMIFS('TUC Intl High Level Sales Plan'!EA:EA,'TUC Intl High Level Sales Plan'!$C:$C,'TUC International'!$B47,'TUC Intl High Level Sales Plan'!$D:$D,'TUC International'!$C47)</f>
        <v>0</v>
      </c>
      <c r="E47" s="22">
        <f>SUMIFS('TUC Intl High Level Sales Plan'!EB:EB,'TUC Intl High Level Sales Plan'!$C:$C,'TUC International'!$B47,'TUC Intl High Level Sales Plan'!$D:$D,'TUC International'!$C47)</f>
        <v>0</v>
      </c>
      <c r="F47" s="20">
        <f>SUMIFS('TUC Intl High Level Sales Plan'!EC:EC,'TUC Intl High Level Sales Plan'!$C:$C,'TUC International'!$B47,'TUC Intl High Level Sales Plan'!$D:$D,'TUC International'!$C47)</f>
        <v>0</v>
      </c>
      <c r="G47" s="20">
        <f>SUMIFS('TUC Intl High Level Sales Plan'!ED:ED,'TUC Intl High Level Sales Plan'!$C:$C,'TUC International'!$B47,'TUC Intl High Level Sales Plan'!$D:$D,'TUC International'!$C47)</f>
        <v>0</v>
      </c>
      <c r="H47" s="20">
        <f>SUMIFS('TUC Intl High Level Sales Plan'!EE:EE,'TUC Intl High Level Sales Plan'!$C:$C,'TUC International'!$B47,'TUC Intl High Level Sales Plan'!$D:$D,'TUC International'!$C47)</f>
        <v>0</v>
      </c>
      <c r="I47" s="20">
        <f>SUMIFS('TUC Intl High Level Sales Plan'!EF:EF,'TUC Intl High Level Sales Plan'!$C:$C,'TUC International'!$B47,'TUC Intl High Level Sales Plan'!$D:$D,'TUC International'!$C47)</f>
        <v>0</v>
      </c>
      <c r="J47" s="20">
        <f>SUMIFS('TUC Intl High Level Sales Plan'!EG:EG,'TUC Intl High Level Sales Plan'!$C:$C,'TUC International'!$B47,'TUC Intl High Level Sales Plan'!$D:$D,'TUC International'!$C47)</f>
        <v>0</v>
      </c>
      <c r="K47" s="20">
        <f>SUMIFS('TUC Intl High Level Sales Plan'!EH:EH,'TUC Intl High Level Sales Plan'!$C:$C,'TUC International'!$B47,'TUC Intl High Level Sales Plan'!$D:$D,'TUC International'!$C47)</f>
        <v>0</v>
      </c>
      <c r="L47" s="20">
        <f>SUMIFS('TUC Intl High Level Sales Plan'!EI:EI,'TUC Intl High Level Sales Plan'!$C:$C,'TUC International'!$B47,'TUC Intl High Level Sales Plan'!$D:$D,'TUC International'!$C47)</f>
        <v>0</v>
      </c>
      <c r="M47" s="20">
        <f>SUMIFS('TUC Intl High Level Sales Plan'!EJ:EJ,'TUC Intl High Level Sales Plan'!$C:$C,'TUC International'!$B47,'TUC Intl High Level Sales Plan'!$D:$D,'TUC International'!$C47)</f>
        <v>0</v>
      </c>
    </row>
    <row r="48" spans="2:13" ht="13.5" hidden="1" outlineLevel="1">
      <c r="B48" s="19">
        <f t="shared" ref="B48" si="18">B23</f>
        <v>0</v>
      </c>
      <c r="C48" s="19">
        <f t="shared" si="1"/>
        <v>0</v>
      </c>
      <c r="D48" s="20">
        <f>SUMIFS('TUC Intl High Level Sales Plan'!EA:EA,'TUC Intl High Level Sales Plan'!$C:$C,'TUC International'!$B48,'TUC Intl High Level Sales Plan'!$D:$D,'TUC International'!$C48)</f>
        <v>0</v>
      </c>
      <c r="E48" s="20">
        <f>SUMIFS('TUC Intl High Level Sales Plan'!EB:EB,'TUC Intl High Level Sales Plan'!$C:$C,'TUC International'!$B48,'TUC Intl High Level Sales Plan'!$D:$D,'TUC International'!$C48)</f>
        <v>0</v>
      </c>
      <c r="F48" s="20">
        <f>SUMIFS('TUC Intl High Level Sales Plan'!EC:EC,'TUC Intl High Level Sales Plan'!$C:$C,'TUC International'!$B48,'TUC Intl High Level Sales Plan'!$D:$D,'TUC International'!$C48)</f>
        <v>0</v>
      </c>
      <c r="G48" s="20">
        <f>SUMIFS('TUC Intl High Level Sales Plan'!ED:ED,'TUC Intl High Level Sales Plan'!$C:$C,'TUC International'!$B48,'TUC Intl High Level Sales Plan'!$D:$D,'TUC International'!$C48)</f>
        <v>0</v>
      </c>
      <c r="H48" s="20">
        <f>SUMIFS('TUC Intl High Level Sales Plan'!EE:EE,'TUC Intl High Level Sales Plan'!$C:$C,'TUC International'!$B48,'TUC Intl High Level Sales Plan'!$D:$D,'TUC International'!$C48)</f>
        <v>0</v>
      </c>
      <c r="I48" s="20">
        <f>SUMIFS('TUC Intl High Level Sales Plan'!EF:EF,'TUC Intl High Level Sales Plan'!$C:$C,'TUC International'!$B48,'TUC Intl High Level Sales Plan'!$D:$D,'TUC International'!$C48)</f>
        <v>0</v>
      </c>
      <c r="J48" s="20">
        <f>SUMIFS('TUC Intl High Level Sales Plan'!EG:EG,'TUC Intl High Level Sales Plan'!$C:$C,'TUC International'!$B48,'TUC Intl High Level Sales Plan'!$D:$D,'TUC International'!$C48)</f>
        <v>0</v>
      </c>
      <c r="K48" s="20">
        <f>SUMIFS('TUC Intl High Level Sales Plan'!EH:EH,'TUC Intl High Level Sales Plan'!$C:$C,'TUC International'!$B48,'TUC Intl High Level Sales Plan'!$D:$D,'TUC International'!$C48)</f>
        <v>0</v>
      </c>
      <c r="L48" s="20">
        <f>SUMIFS('TUC Intl High Level Sales Plan'!EI:EI,'TUC Intl High Level Sales Plan'!$C:$C,'TUC International'!$B48,'TUC Intl High Level Sales Plan'!$D:$D,'TUC International'!$C48)</f>
        <v>0</v>
      </c>
      <c r="M48" s="20">
        <f>SUMIFS('TUC Intl High Level Sales Plan'!EJ:EJ,'TUC Intl High Level Sales Plan'!$C:$C,'TUC International'!$B48,'TUC Intl High Level Sales Plan'!$D:$D,'TUC International'!$C48)</f>
        <v>0</v>
      </c>
    </row>
    <row r="49" spans="2:13" ht="13.5" hidden="1" outlineLevel="1">
      <c r="B49" s="172">
        <f t="shared" ref="B49" si="19">B24</f>
        <v>0</v>
      </c>
      <c r="C49" s="172">
        <f t="shared" si="1"/>
        <v>0</v>
      </c>
      <c r="D49" s="20">
        <f>SUMIFS('TUC Intl High Level Sales Plan'!EA:EA,'TUC Intl High Level Sales Plan'!$C:$C,'TUC International'!$B49,'TUC Intl High Level Sales Plan'!$D:$D,'TUC International'!$C49)</f>
        <v>0</v>
      </c>
      <c r="E49" s="20">
        <f>SUMIFS('TUC Intl High Level Sales Plan'!EB:EB,'TUC Intl High Level Sales Plan'!$C:$C,'TUC International'!$B49,'TUC Intl High Level Sales Plan'!$D:$D,'TUC International'!$C49)</f>
        <v>0</v>
      </c>
      <c r="F49" s="20">
        <f>SUMIFS('TUC Intl High Level Sales Plan'!EC:EC,'TUC Intl High Level Sales Plan'!$C:$C,'TUC International'!$B49,'TUC Intl High Level Sales Plan'!$D:$D,'TUC International'!$C49)</f>
        <v>0</v>
      </c>
      <c r="G49" s="20">
        <f>SUMIFS('TUC Intl High Level Sales Plan'!ED:ED,'TUC Intl High Level Sales Plan'!$C:$C,'TUC International'!$B49,'TUC Intl High Level Sales Plan'!$D:$D,'TUC International'!$C49)</f>
        <v>0</v>
      </c>
      <c r="H49" s="20">
        <f>SUMIFS('TUC Intl High Level Sales Plan'!EE:EE,'TUC Intl High Level Sales Plan'!$C:$C,'TUC International'!$B49,'TUC Intl High Level Sales Plan'!$D:$D,'TUC International'!$C49)</f>
        <v>0</v>
      </c>
      <c r="I49" s="20">
        <f>SUMIFS('TUC Intl High Level Sales Plan'!EF:EF,'TUC Intl High Level Sales Plan'!$C:$C,'TUC International'!$B49,'TUC Intl High Level Sales Plan'!$D:$D,'TUC International'!$C49)</f>
        <v>0</v>
      </c>
      <c r="J49" s="20">
        <f>SUMIFS('TUC Intl High Level Sales Plan'!EG:EG,'TUC Intl High Level Sales Plan'!$C:$C,'TUC International'!$B49,'TUC Intl High Level Sales Plan'!$D:$D,'TUC International'!$C49)</f>
        <v>0</v>
      </c>
      <c r="K49" s="20">
        <f>SUMIFS('TUC Intl High Level Sales Plan'!EH:EH,'TUC Intl High Level Sales Plan'!$C:$C,'TUC International'!$B49,'TUC Intl High Level Sales Plan'!$D:$D,'TUC International'!$C49)</f>
        <v>0</v>
      </c>
      <c r="L49" s="20">
        <f>SUMIFS('TUC Intl High Level Sales Plan'!EI:EI,'TUC Intl High Level Sales Plan'!$C:$C,'TUC International'!$B49,'TUC Intl High Level Sales Plan'!$D:$D,'TUC International'!$C49)</f>
        <v>0</v>
      </c>
      <c r="M49" s="20">
        <f>SUMIFS('TUC Intl High Level Sales Plan'!EJ:EJ,'TUC Intl High Level Sales Plan'!$C:$C,'TUC International'!$B49,'TUC Intl High Level Sales Plan'!$D:$D,'TUC International'!$C49)</f>
        <v>0</v>
      </c>
    </row>
    <row r="50" spans="2:13" ht="13.5" hidden="1" outlineLevel="1">
      <c r="B50" s="172">
        <f t="shared" ref="B50" si="20">B25</f>
        <v>0</v>
      </c>
      <c r="C50" s="172">
        <f t="shared" si="1"/>
        <v>0</v>
      </c>
      <c r="D50" s="20">
        <f>SUMIFS('TUC Intl High Level Sales Plan'!EA:EA,'TUC Intl High Level Sales Plan'!$C:$C,'TUC International'!$B50,'TUC Intl High Level Sales Plan'!$D:$D,'TUC International'!$C50)</f>
        <v>0</v>
      </c>
      <c r="E50" s="20">
        <f>SUMIFS('TUC Intl High Level Sales Plan'!EB:EB,'TUC Intl High Level Sales Plan'!$C:$C,'TUC International'!$B50,'TUC Intl High Level Sales Plan'!$D:$D,'TUC International'!$C50)</f>
        <v>0</v>
      </c>
      <c r="F50" s="20">
        <f>SUMIFS('TUC Intl High Level Sales Plan'!EC:EC,'TUC Intl High Level Sales Plan'!$C:$C,'TUC International'!$B50,'TUC Intl High Level Sales Plan'!$D:$D,'TUC International'!$C50)</f>
        <v>0</v>
      </c>
      <c r="G50" s="20">
        <f>SUMIFS('TUC Intl High Level Sales Plan'!ED:ED,'TUC Intl High Level Sales Plan'!$C:$C,'TUC International'!$B50,'TUC Intl High Level Sales Plan'!$D:$D,'TUC International'!$C50)</f>
        <v>0</v>
      </c>
      <c r="H50" s="20">
        <f>SUMIFS('TUC Intl High Level Sales Plan'!EE:EE,'TUC Intl High Level Sales Plan'!$C:$C,'TUC International'!$B50,'TUC Intl High Level Sales Plan'!$D:$D,'TUC International'!$C50)</f>
        <v>0</v>
      </c>
      <c r="I50" s="20">
        <f>SUMIFS('TUC Intl High Level Sales Plan'!EF:EF,'TUC Intl High Level Sales Plan'!$C:$C,'TUC International'!$B50,'TUC Intl High Level Sales Plan'!$D:$D,'TUC International'!$C50)</f>
        <v>0</v>
      </c>
      <c r="J50" s="20">
        <f>SUMIFS('TUC Intl High Level Sales Plan'!EG:EG,'TUC Intl High Level Sales Plan'!$C:$C,'TUC International'!$B50,'TUC Intl High Level Sales Plan'!$D:$D,'TUC International'!$C50)</f>
        <v>0</v>
      </c>
      <c r="K50" s="20">
        <f>SUMIFS('TUC Intl High Level Sales Plan'!EH:EH,'TUC Intl High Level Sales Plan'!$C:$C,'TUC International'!$B50,'TUC Intl High Level Sales Plan'!$D:$D,'TUC International'!$C50)</f>
        <v>0</v>
      </c>
      <c r="L50" s="20">
        <f>SUMIFS('TUC Intl High Level Sales Plan'!EI:EI,'TUC Intl High Level Sales Plan'!$C:$C,'TUC International'!$B50,'TUC Intl High Level Sales Plan'!$D:$D,'TUC International'!$C50)</f>
        <v>0</v>
      </c>
      <c r="M50" s="20">
        <f>SUMIFS('TUC Intl High Level Sales Plan'!EJ:EJ,'TUC Intl High Level Sales Plan'!$C:$C,'TUC International'!$B50,'TUC Intl High Level Sales Plan'!$D:$D,'TUC International'!$C50)</f>
        <v>0</v>
      </c>
    </row>
    <row r="51" spans="2:13" ht="13.5" hidden="1" outlineLevel="1">
      <c r="B51" s="172">
        <f t="shared" ref="B51" si="21">B26</f>
        <v>0</v>
      </c>
      <c r="C51" s="172">
        <f t="shared" si="1"/>
        <v>0</v>
      </c>
      <c r="D51" s="20">
        <f>SUMIFS('TUC Intl High Level Sales Plan'!EA:EA,'TUC Intl High Level Sales Plan'!$C:$C,'TUC International'!$B51,'TUC Intl High Level Sales Plan'!$D:$D,'TUC International'!$C51)</f>
        <v>0</v>
      </c>
      <c r="E51" s="20">
        <f>SUMIFS('TUC Intl High Level Sales Plan'!EB:EB,'TUC Intl High Level Sales Plan'!$C:$C,'TUC International'!$B51,'TUC Intl High Level Sales Plan'!$D:$D,'TUC International'!$C51)</f>
        <v>0</v>
      </c>
      <c r="F51" s="20">
        <f>SUMIFS('TUC Intl High Level Sales Plan'!EC:EC,'TUC Intl High Level Sales Plan'!$C:$C,'TUC International'!$B51,'TUC Intl High Level Sales Plan'!$D:$D,'TUC International'!$C51)</f>
        <v>0</v>
      </c>
      <c r="G51" s="20">
        <f>SUMIFS('TUC Intl High Level Sales Plan'!ED:ED,'TUC Intl High Level Sales Plan'!$C:$C,'TUC International'!$B51,'TUC Intl High Level Sales Plan'!$D:$D,'TUC International'!$C51)</f>
        <v>0</v>
      </c>
      <c r="H51" s="20">
        <f>SUMIFS('TUC Intl High Level Sales Plan'!EE:EE,'TUC Intl High Level Sales Plan'!$C:$C,'TUC International'!$B51,'TUC Intl High Level Sales Plan'!$D:$D,'TUC International'!$C51)</f>
        <v>0</v>
      </c>
      <c r="I51" s="20">
        <f>SUMIFS('TUC Intl High Level Sales Plan'!EF:EF,'TUC Intl High Level Sales Plan'!$C:$C,'TUC International'!$B51,'TUC Intl High Level Sales Plan'!$D:$D,'TUC International'!$C51)</f>
        <v>0</v>
      </c>
      <c r="J51" s="20">
        <f>SUMIFS('TUC Intl High Level Sales Plan'!EG:EG,'TUC Intl High Level Sales Plan'!$C:$C,'TUC International'!$B51,'TUC Intl High Level Sales Plan'!$D:$D,'TUC International'!$C51)</f>
        <v>0</v>
      </c>
      <c r="K51" s="20">
        <f>SUMIFS('TUC Intl High Level Sales Plan'!EH:EH,'TUC Intl High Level Sales Plan'!$C:$C,'TUC International'!$B51,'TUC Intl High Level Sales Plan'!$D:$D,'TUC International'!$C51)</f>
        <v>0</v>
      </c>
      <c r="L51" s="20">
        <f>SUMIFS('TUC Intl High Level Sales Plan'!EI:EI,'TUC Intl High Level Sales Plan'!$C:$C,'TUC International'!$B51,'TUC Intl High Level Sales Plan'!$D:$D,'TUC International'!$C51)</f>
        <v>0</v>
      </c>
      <c r="M51" s="20">
        <f>SUMIFS('TUC Intl High Level Sales Plan'!EJ:EJ,'TUC Intl High Level Sales Plan'!$C:$C,'TUC International'!$B51,'TUC Intl High Level Sales Plan'!$D:$D,'TUC International'!$C51)</f>
        <v>0</v>
      </c>
    </row>
    <row r="52" spans="2:13" ht="15" hidden="1" customHeight="1" collapsed="1">
      <c r="B52" s="19">
        <f t="shared" ref="B52" si="22">B27</f>
        <v>0</v>
      </c>
      <c r="C52" s="19">
        <f t="shared" si="1"/>
        <v>0</v>
      </c>
      <c r="D52" s="20">
        <f>SUMIFS('TUC Intl High Level Sales Plan'!EA:EA,'TUC Intl High Level Sales Plan'!$C:$C,'TUC International'!$B52,'TUC Intl High Level Sales Plan'!$D:$D,'TUC International'!$C52)</f>
        <v>0</v>
      </c>
      <c r="E52" s="20">
        <f>SUMIFS('TUC Intl High Level Sales Plan'!EB:EB,'TUC Intl High Level Sales Plan'!$C:$C,'TUC International'!$B52,'TUC Intl High Level Sales Plan'!$D:$D,'TUC International'!$C52)</f>
        <v>0</v>
      </c>
      <c r="F52" s="20">
        <f>SUMIFS('TUC Intl High Level Sales Plan'!EC:EC,'TUC Intl High Level Sales Plan'!$C:$C,'TUC International'!$B52,'TUC Intl High Level Sales Plan'!$D:$D,'TUC International'!$C52)</f>
        <v>0</v>
      </c>
      <c r="G52" s="20">
        <f>SUMIFS('TUC Intl High Level Sales Plan'!ED:ED,'TUC Intl High Level Sales Plan'!$C:$C,'TUC International'!$B52,'TUC Intl High Level Sales Plan'!$D:$D,'TUC International'!$C52)</f>
        <v>0</v>
      </c>
      <c r="H52" s="20">
        <f>SUMIFS('TUC Intl High Level Sales Plan'!EE:EE,'TUC Intl High Level Sales Plan'!$C:$C,'TUC International'!$B52,'TUC Intl High Level Sales Plan'!$D:$D,'TUC International'!$C52)</f>
        <v>0</v>
      </c>
      <c r="I52" s="20">
        <f>SUMIFS('TUC Intl High Level Sales Plan'!EF:EF,'TUC Intl High Level Sales Plan'!$C:$C,'TUC International'!$B52,'TUC Intl High Level Sales Plan'!$D:$D,'TUC International'!$C52)</f>
        <v>0</v>
      </c>
      <c r="J52" s="20">
        <f>SUMIFS('TUC Intl High Level Sales Plan'!EG:EG,'TUC Intl High Level Sales Plan'!$C:$C,'TUC International'!$B52,'TUC Intl High Level Sales Plan'!$D:$D,'TUC International'!$C52)</f>
        <v>0</v>
      </c>
      <c r="K52" s="20">
        <f>SUMIFS('TUC Intl High Level Sales Plan'!EH:EH,'TUC Intl High Level Sales Plan'!$C:$C,'TUC International'!$B52,'TUC Intl High Level Sales Plan'!$D:$D,'TUC International'!$C52)</f>
        <v>0</v>
      </c>
      <c r="L52" s="20">
        <f>SUMIFS('TUC Intl High Level Sales Plan'!EI:EI,'TUC Intl High Level Sales Plan'!$C:$C,'TUC International'!$B52,'TUC Intl High Level Sales Plan'!$D:$D,'TUC International'!$C52)</f>
        <v>0</v>
      </c>
      <c r="M52" s="20">
        <f>SUMIFS('TUC Intl High Level Sales Plan'!EJ:EJ,'TUC Intl High Level Sales Plan'!$C:$C,'TUC International'!$B52,'TUC Intl High Level Sales Plan'!$D:$D,'TUC International'!$C52)</f>
        <v>0</v>
      </c>
    </row>
    <row r="53" spans="2:13" ht="15" hidden="1" customHeight="1">
      <c r="B53" s="19">
        <f t="shared" ref="B53" si="23">B28</f>
        <v>0</v>
      </c>
      <c r="C53" s="19">
        <f t="shared" si="1"/>
        <v>0</v>
      </c>
      <c r="D53" s="20">
        <f>SUMIFS('TUC Intl High Level Sales Plan'!EA:EA,'TUC Intl High Level Sales Plan'!$C:$C,'TUC International'!$B53,'TUC Intl High Level Sales Plan'!$D:$D,'TUC International'!$C53)</f>
        <v>0</v>
      </c>
      <c r="E53" s="20">
        <f>SUMIFS('TUC Intl High Level Sales Plan'!EB:EB,'TUC Intl High Level Sales Plan'!$C:$C,'TUC International'!$B53,'TUC Intl High Level Sales Plan'!$D:$D,'TUC International'!$C53)</f>
        <v>0</v>
      </c>
      <c r="F53" s="20">
        <f>SUMIFS('TUC Intl High Level Sales Plan'!EC:EC,'TUC Intl High Level Sales Plan'!$C:$C,'TUC International'!$B53,'TUC Intl High Level Sales Plan'!$D:$D,'TUC International'!$C53)</f>
        <v>0</v>
      </c>
      <c r="G53" s="20">
        <f>SUMIFS('TUC Intl High Level Sales Plan'!ED:ED,'TUC Intl High Level Sales Plan'!$C:$C,'TUC International'!$B53,'TUC Intl High Level Sales Plan'!$D:$D,'TUC International'!$C53)</f>
        <v>0</v>
      </c>
      <c r="H53" s="20">
        <f>SUMIFS('TUC Intl High Level Sales Plan'!EE:EE,'TUC Intl High Level Sales Plan'!$C:$C,'TUC International'!$B53,'TUC Intl High Level Sales Plan'!$D:$D,'TUC International'!$C53)</f>
        <v>0</v>
      </c>
      <c r="I53" s="20">
        <f>SUMIFS('TUC Intl High Level Sales Plan'!EF:EF,'TUC Intl High Level Sales Plan'!$C:$C,'TUC International'!$B53,'TUC Intl High Level Sales Plan'!$D:$D,'TUC International'!$C53)</f>
        <v>0</v>
      </c>
      <c r="J53" s="20">
        <f>SUMIFS('TUC Intl High Level Sales Plan'!EG:EG,'TUC Intl High Level Sales Plan'!$C:$C,'TUC International'!$B53,'TUC Intl High Level Sales Plan'!$D:$D,'TUC International'!$C53)</f>
        <v>0</v>
      </c>
      <c r="K53" s="20">
        <f>SUMIFS('TUC Intl High Level Sales Plan'!EH:EH,'TUC Intl High Level Sales Plan'!$C:$C,'TUC International'!$B53,'TUC Intl High Level Sales Plan'!$D:$D,'TUC International'!$C53)</f>
        <v>0</v>
      </c>
      <c r="L53" s="20">
        <f>SUMIFS('TUC Intl High Level Sales Plan'!EI:EI,'TUC Intl High Level Sales Plan'!$C:$C,'TUC International'!$B53,'TUC Intl High Level Sales Plan'!$D:$D,'TUC International'!$C53)</f>
        <v>0</v>
      </c>
      <c r="M53" s="20">
        <f>SUMIFS('TUC Intl High Level Sales Plan'!EJ:EJ,'TUC Intl High Level Sales Plan'!$C:$C,'TUC International'!$B53,'TUC Intl High Level Sales Plan'!$D:$D,'TUC International'!$C53)</f>
        <v>0</v>
      </c>
    </row>
    <row r="54" spans="2:13" ht="15" customHeight="1" thickBot="1">
      <c r="B54" s="23" t="s">
        <v>76</v>
      </c>
      <c r="C54" s="23"/>
      <c r="D54" s="173">
        <f>SUM(D31:D53)</f>
        <v>0</v>
      </c>
      <c r="E54" s="173">
        <f t="shared" ref="E54:H54" si="24">SUM(E31:E53)</f>
        <v>0</v>
      </c>
      <c r="F54" s="173">
        <f t="shared" si="24"/>
        <v>0</v>
      </c>
      <c r="G54" s="173">
        <f t="shared" si="24"/>
        <v>0</v>
      </c>
      <c r="H54" s="173">
        <f t="shared" si="24"/>
        <v>0</v>
      </c>
      <c r="I54" s="173">
        <f t="shared" ref="I54:L54" si="25">SUM(I31:I53)</f>
        <v>0</v>
      </c>
      <c r="J54" s="173">
        <f t="shared" si="25"/>
        <v>0</v>
      </c>
      <c r="K54" s="173">
        <f t="shared" si="25"/>
        <v>0</v>
      </c>
      <c r="L54" s="173">
        <f t="shared" si="25"/>
        <v>0</v>
      </c>
      <c r="M54" s="173">
        <f t="shared" ref="M54" si="26">SUM(M31:M53)</f>
        <v>0</v>
      </c>
    </row>
    <row r="55" spans="2:13" ht="3.75" customHeight="1">
      <c r="D55" s="14"/>
      <c r="E55" s="14"/>
      <c r="F55" s="14"/>
      <c r="G55" s="14"/>
      <c r="H55" s="14"/>
      <c r="I55" s="14"/>
      <c r="J55" s="14"/>
      <c r="K55" s="14"/>
      <c r="L55" s="14"/>
      <c r="M55" s="14"/>
    </row>
    <row r="56" spans="2:13" s="15" customFormat="1" ht="15" customHeight="1">
      <c r="B56" s="26" t="s">
        <v>77</v>
      </c>
      <c r="C56" s="26"/>
      <c r="D56" s="27"/>
      <c r="E56" s="27"/>
      <c r="F56" s="27"/>
      <c r="G56" s="27"/>
      <c r="H56" s="27"/>
      <c r="I56" s="27"/>
      <c r="J56" s="27"/>
      <c r="K56" s="27"/>
      <c r="L56" s="27"/>
      <c r="M56" s="27"/>
    </row>
    <row r="57" spans="2:13" ht="15" customHeight="1" thickBot="1">
      <c r="B57" s="23" t="s">
        <v>76</v>
      </c>
      <c r="C57" s="23"/>
      <c r="D57" s="173">
        <f>'TUC Intl High Level Sales Plan'!FQ$44</f>
        <v>0</v>
      </c>
      <c r="E57" s="173">
        <f>'TUC Intl High Level Sales Plan'!FR$44</f>
        <v>0</v>
      </c>
      <c r="F57" s="173">
        <f>'TUC Intl High Level Sales Plan'!FS$44</f>
        <v>0</v>
      </c>
      <c r="G57" s="173">
        <f>'TUC Intl High Level Sales Plan'!FT$44</f>
        <v>0</v>
      </c>
      <c r="H57" s="173">
        <f>'TUC Intl High Level Sales Plan'!FU$44</f>
        <v>0</v>
      </c>
      <c r="I57" s="173">
        <f>'TUC Intl High Level Sales Plan'!FV$44</f>
        <v>0</v>
      </c>
      <c r="J57" s="173">
        <f>'TUC Intl High Level Sales Plan'!FW$44</f>
        <v>0</v>
      </c>
      <c r="K57" s="173">
        <f>'TUC Intl High Level Sales Plan'!FX$44</f>
        <v>0</v>
      </c>
      <c r="L57" s="173">
        <f>'TUC Intl High Level Sales Plan'!FY$44</f>
        <v>0</v>
      </c>
      <c r="M57" s="173">
        <f>'TUC Intl High Level Sales Plan'!FZ$44</f>
        <v>0</v>
      </c>
    </row>
    <row r="58" spans="2:13" ht="3.75" customHeight="1">
      <c r="D58" s="14"/>
      <c r="E58" s="14"/>
      <c r="F58" s="14"/>
      <c r="G58" s="14"/>
      <c r="H58" s="14"/>
      <c r="I58" s="14"/>
      <c r="J58" s="14"/>
      <c r="K58" s="14"/>
      <c r="L58" s="14"/>
      <c r="M58" s="14"/>
    </row>
    <row r="59" spans="2:13" s="15" customFormat="1" ht="13.5">
      <c r="B59" s="174" t="s">
        <v>78</v>
      </c>
      <c r="C59" s="174"/>
      <c r="D59" s="175"/>
      <c r="E59" s="175"/>
      <c r="F59" s="175"/>
      <c r="G59" s="175"/>
      <c r="H59" s="175"/>
      <c r="I59" s="175"/>
      <c r="J59" s="175"/>
      <c r="K59" s="175"/>
      <c r="L59" s="175"/>
      <c r="M59" s="175"/>
    </row>
    <row r="60" spans="2:13" ht="15" customHeight="1" thickBot="1">
      <c r="B60" s="23" t="s">
        <v>76</v>
      </c>
      <c r="C60" s="23"/>
      <c r="D60" s="173">
        <f>D54-D57</f>
        <v>0</v>
      </c>
      <c r="E60" s="173">
        <f t="shared" ref="E60:H60" si="27">E54-E57</f>
        <v>0</v>
      </c>
      <c r="F60" s="173">
        <f t="shared" si="27"/>
        <v>0</v>
      </c>
      <c r="G60" s="173">
        <f t="shared" si="27"/>
        <v>0</v>
      </c>
      <c r="H60" s="173">
        <f t="shared" si="27"/>
        <v>0</v>
      </c>
      <c r="I60" s="173">
        <f t="shared" ref="I60:L60" si="28">I54-I57</f>
        <v>0</v>
      </c>
      <c r="J60" s="173">
        <f t="shared" si="28"/>
        <v>0</v>
      </c>
      <c r="K60" s="173">
        <f t="shared" si="28"/>
        <v>0</v>
      </c>
      <c r="L60" s="173">
        <f t="shared" si="28"/>
        <v>0</v>
      </c>
      <c r="M60" s="173">
        <f t="shared" ref="M60" si="29">M54-M57</f>
        <v>0</v>
      </c>
    </row>
    <row r="61" spans="2:13" ht="3.75" customHeight="1">
      <c r="D61" s="14"/>
      <c r="E61" s="14"/>
      <c r="F61" s="14"/>
      <c r="G61" s="14"/>
      <c r="H61" s="14"/>
      <c r="I61" s="14"/>
      <c r="J61" s="14"/>
      <c r="K61" s="14"/>
      <c r="L61" s="14"/>
      <c r="M61" s="14"/>
    </row>
    <row r="62" spans="2:13" s="15" customFormat="1" ht="13.5">
      <c r="B62" s="28" t="s">
        <v>79</v>
      </c>
      <c r="C62" s="28"/>
      <c r="D62" s="29"/>
      <c r="E62" s="29"/>
      <c r="F62" s="29"/>
      <c r="G62" s="29"/>
      <c r="H62" s="29"/>
      <c r="I62" s="29"/>
      <c r="J62" s="29"/>
      <c r="K62" s="29"/>
      <c r="L62" s="29"/>
      <c r="M62" s="29"/>
    </row>
    <row r="63" spans="2:13" ht="15" customHeight="1" thickBot="1">
      <c r="B63" s="23" t="s">
        <v>76</v>
      </c>
      <c r="C63" s="23"/>
      <c r="D63" s="173">
        <f>Overheads!C$185</f>
        <v>0</v>
      </c>
      <c r="E63" s="173">
        <f>Overheads!D$185</f>
        <v>0</v>
      </c>
      <c r="F63" s="173">
        <f>Overheads!E$185</f>
        <v>0</v>
      </c>
      <c r="G63" s="173">
        <f>Overheads!F$185</f>
        <v>0</v>
      </c>
      <c r="H63" s="173">
        <f>Overheads!G$185</f>
        <v>0</v>
      </c>
      <c r="I63" s="173">
        <f>Overheads!H$185</f>
        <v>0</v>
      </c>
      <c r="J63" s="173">
        <f>Overheads!I$185</f>
        <v>0</v>
      </c>
      <c r="K63" s="173">
        <f>Overheads!J$185</f>
        <v>0</v>
      </c>
      <c r="L63" s="173">
        <f>Overheads!K$185</f>
        <v>0</v>
      </c>
      <c r="M63" s="173">
        <f>Overheads!L$185</f>
        <v>0</v>
      </c>
    </row>
    <row r="64" spans="2:13" ht="3.75" customHeight="1">
      <c r="D64" s="14"/>
      <c r="E64" s="14"/>
      <c r="F64" s="14"/>
      <c r="G64" s="14"/>
      <c r="H64" s="14"/>
      <c r="I64" s="14"/>
      <c r="J64" s="14"/>
      <c r="K64" s="14"/>
      <c r="L64" s="14"/>
      <c r="M64" s="14"/>
    </row>
    <row r="65" spans="2:13" s="15" customFormat="1" ht="13.5">
      <c r="B65" s="28" t="s">
        <v>81</v>
      </c>
      <c r="C65" s="28"/>
      <c r="D65" s="29"/>
      <c r="E65" s="29"/>
      <c r="F65" s="29"/>
      <c r="G65" s="29"/>
      <c r="H65" s="29"/>
      <c r="I65" s="29"/>
      <c r="J65" s="29"/>
      <c r="K65" s="29"/>
      <c r="L65" s="29"/>
      <c r="M65" s="29"/>
    </row>
    <row r="66" spans="2:13" ht="15" customHeight="1" thickBot="1">
      <c r="B66" s="23" t="s">
        <v>76</v>
      </c>
      <c r="C66" s="23"/>
      <c r="D66" s="173">
        <f>D60-D63</f>
        <v>0</v>
      </c>
      <c r="E66" s="173">
        <f t="shared" ref="E66:H66" si="30">E60-E63</f>
        <v>0</v>
      </c>
      <c r="F66" s="173">
        <f t="shared" si="30"/>
        <v>0</v>
      </c>
      <c r="G66" s="173">
        <f t="shared" si="30"/>
        <v>0</v>
      </c>
      <c r="H66" s="173">
        <f t="shared" si="30"/>
        <v>0</v>
      </c>
      <c r="I66" s="173">
        <f t="shared" ref="I66:L66" si="31">I60-I63</f>
        <v>0</v>
      </c>
      <c r="J66" s="173">
        <f t="shared" si="31"/>
        <v>0</v>
      </c>
      <c r="K66" s="173">
        <f t="shared" si="31"/>
        <v>0</v>
      </c>
      <c r="L66" s="173">
        <f t="shared" si="31"/>
        <v>0</v>
      </c>
      <c r="M66" s="173">
        <f t="shared" ref="M66" si="32">M60-M63</f>
        <v>0</v>
      </c>
    </row>
    <row r="67" spans="2:13" ht="15" customHeight="1">
      <c r="B67" s="176"/>
      <c r="C67" s="176"/>
      <c r="D67" s="177"/>
      <c r="E67" s="178"/>
      <c r="F67" s="178"/>
      <c r="G67" s="178"/>
      <c r="H67" s="178"/>
      <c r="I67" s="178"/>
      <c r="J67" s="178"/>
      <c r="K67" s="178"/>
      <c r="L67" s="178"/>
      <c r="M67" s="178"/>
    </row>
  </sheetData>
  <pageMargins left="0.7" right="0.7" top="0.75" bottom="0.75" header="0.3" footer="0.3"/>
  <pageSetup scale="47"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69D21-AF1D-4E5A-A0A5-0BCAC8740DA5}">
  <sheetPr>
    <tabColor theme="6" tint="0.79998168889431442"/>
  </sheetPr>
  <dimension ref="A1:JF59"/>
  <sheetViews>
    <sheetView workbookViewId="0"/>
  </sheetViews>
  <sheetFormatPr defaultColWidth="0" defaultRowHeight="0" customHeight="1" zeroHeight="1"/>
  <cols>
    <col min="1" max="1" width="1.5546875" style="8" customWidth="1"/>
    <col min="2" max="2" width="11.44140625" style="8" customWidth="1"/>
    <col min="3" max="4" width="16.5546875" style="8" bestFit="1" customWidth="1"/>
    <col min="5" max="5" width="21.44140625" style="8" bestFit="1" customWidth="1"/>
    <col min="6" max="6" width="14.6640625" style="8" bestFit="1" customWidth="1"/>
    <col min="7" max="7" width="22.33203125" style="8" bestFit="1" customWidth="1"/>
    <col min="8" max="8" width="8.44140625" style="8" bestFit="1" customWidth="1"/>
    <col min="9" max="9" width="0.5546875" style="8" customWidth="1"/>
    <col min="10" max="10" width="10.44140625" style="8" bestFit="1" customWidth="1"/>
    <col min="11" max="19" width="8.5546875" style="8" customWidth="1"/>
    <col min="20" max="20" width="0.5546875" style="8" customWidth="1"/>
    <col min="21" max="21" width="10.44140625" style="8" bestFit="1" customWidth="1"/>
    <col min="22" max="30" width="8.5546875" style="8" customWidth="1"/>
    <col min="31" max="31" width="0.5546875" style="8" customWidth="1"/>
    <col min="32" max="32" width="10.44140625" style="8" bestFit="1" customWidth="1"/>
    <col min="33" max="41" width="8.5546875" style="8" customWidth="1"/>
    <col min="42" max="42" width="0.5546875" style="8" customWidth="1"/>
    <col min="43" max="43" width="10.44140625" style="8" bestFit="1" customWidth="1"/>
    <col min="44" max="52" width="8.5546875" style="8" customWidth="1"/>
    <col min="53" max="53" width="0.5546875" style="8" customWidth="1"/>
    <col min="54" max="54" width="10.44140625" style="8" bestFit="1" customWidth="1"/>
    <col min="55" max="63" width="8.5546875" style="8" customWidth="1"/>
    <col min="64" max="64" width="0.5546875" style="8" customWidth="1"/>
    <col min="65" max="74" width="11.44140625" style="8" customWidth="1"/>
    <col min="75" max="75" width="0.5546875" style="8" customWidth="1"/>
    <col min="76" max="76" width="10.5546875" style="8" customWidth="1"/>
    <col min="77" max="77" width="11.5546875" style="8" bestFit="1" customWidth="1"/>
    <col min="78" max="78" width="12" style="8" bestFit="1" customWidth="1"/>
    <col min="79" max="79" width="10.44140625" style="8" bestFit="1" customWidth="1"/>
    <col min="80" max="85" width="10.5546875" style="8" customWidth="1"/>
    <col min="86" max="86" width="0.5546875" style="8" customWidth="1"/>
    <col min="87" max="87" width="10.5546875" style="8" customWidth="1"/>
    <col min="88" max="89" width="12.44140625" style="8" bestFit="1" customWidth="1"/>
    <col min="90" max="90" width="13" style="8" bestFit="1" customWidth="1"/>
    <col min="91" max="96" width="10.5546875" style="8" customWidth="1"/>
    <col min="97" max="97" width="0.5546875" style="8" customWidth="1"/>
    <col min="98" max="107" width="11" style="8" customWidth="1"/>
    <col min="108" max="108" width="0.5546875" style="8" customWidth="1"/>
    <col min="109" max="109" width="9.5546875" style="8" bestFit="1" customWidth="1"/>
    <col min="110" max="118" width="10.5546875" style="8" bestFit="1" customWidth="1"/>
    <col min="119" max="119" width="0.5546875" style="8" customWidth="1"/>
    <col min="120" max="129" width="9.5546875" style="8" customWidth="1"/>
    <col min="130" max="130" width="0.5546875" style="8" customWidth="1"/>
    <col min="131" max="140" width="13.44140625" style="8" customWidth="1"/>
    <col min="141" max="141" width="0.5546875" style="8" customWidth="1"/>
    <col min="142" max="150" width="9.5546875" style="8" customWidth="1"/>
    <col min="151" max="151" width="0.5546875" style="8" customWidth="1"/>
    <col min="152" max="160" width="9.5546875" style="8" customWidth="1"/>
    <col min="161" max="161" width="0.5546875" style="8" customWidth="1"/>
    <col min="162" max="171" width="9.5546875" style="8" customWidth="1"/>
    <col min="172" max="172" width="0.5546875" style="8" customWidth="1"/>
    <col min="173" max="182" width="12.44140625" style="8" customWidth="1"/>
    <col min="183" max="183" width="0.5546875" style="8" customWidth="1"/>
    <col min="184" max="184" width="1.5546875" style="8" customWidth="1"/>
    <col min="185" max="266" width="0" style="8" hidden="1" customWidth="1"/>
    <col min="267" max="16384" width="8.5546875" style="8" hidden="1"/>
  </cols>
  <sheetData>
    <row r="1" spans="1:183" ht="70.5" customHeight="1">
      <c r="A1" s="452"/>
      <c r="B1" s="10" t="s">
        <v>174</v>
      </c>
      <c r="C1" s="10"/>
      <c r="D1" s="10"/>
      <c r="E1" s="11"/>
      <c r="F1" s="11"/>
      <c r="G1" s="11"/>
      <c r="H1" s="10"/>
      <c r="I1" s="10"/>
      <c r="J1" s="11"/>
      <c r="K1" s="11"/>
      <c r="L1" s="11"/>
      <c r="M1" s="11"/>
      <c r="N1" s="11"/>
      <c r="O1" s="11"/>
      <c r="P1" s="11"/>
      <c r="Q1" s="11"/>
      <c r="R1" s="11"/>
      <c r="S1" s="11"/>
      <c r="T1" s="10"/>
      <c r="U1" s="11"/>
      <c r="V1" s="11"/>
      <c r="W1" s="11"/>
      <c r="X1" s="11"/>
      <c r="Y1" s="11"/>
      <c r="Z1" s="11"/>
      <c r="AA1" s="11"/>
      <c r="AB1" s="11"/>
      <c r="AC1" s="11"/>
      <c r="AD1" s="11"/>
      <c r="AE1" s="10"/>
      <c r="AF1" s="11"/>
      <c r="AG1" s="11"/>
      <c r="AH1" s="11"/>
      <c r="AI1" s="11"/>
      <c r="AJ1" s="11"/>
      <c r="AK1" s="11"/>
      <c r="AL1" s="11"/>
      <c r="AM1" s="11"/>
      <c r="AN1" s="11"/>
      <c r="AO1" s="11"/>
      <c r="AP1" s="10"/>
      <c r="AQ1" s="11"/>
      <c r="AR1" s="11"/>
      <c r="AS1" s="11"/>
      <c r="AT1" s="11"/>
      <c r="AU1" s="11"/>
      <c r="AV1" s="11"/>
      <c r="AW1" s="11"/>
      <c r="AX1" s="11"/>
      <c r="AY1" s="11"/>
      <c r="AZ1" s="11"/>
      <c r="BA1" s="10"/>
      <c r="BB1" s="11"/>
      <c r="BC1" s="11"/>
      <c r="BD1" s="11"/>
      <c r="BE1" s="11"/>
      <c r="BF1" s="11"/>
      <c r="BG1" s="11"/>
      <c r="BH1" s="11"/>
      <c r="BI1" s="11"/>
      <c r="BJ1" s="11"/>
      <c r="BK1" s="11"/>
      <c r="BL1" s="10"/>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row>
    <row r="2" spans="1:183" s="211" customFormat="1" ht="13.5">
      <c r="P2" s="211">
        <v>6.2E-2</v>
      </c>
      <c r="CD2" s="211">
        <v>0.03</v>
      </c>
    </row>
    <row r="3" spans="1:183" ht="13.5">
      <c r="J3" s="140" t="s">
        <v>133</v>
      </c>
      <c r="K3" s="140"/>
      <c r="L3" s="140"/>
      <c r="M3" s="140"/>
      <c r="N3" s="140"/>
      <c r="O3" s="140"/>
      <c r="P3" s="140"/>
      <c r="Q3" s="140"/>
      <c r="R3" s="140"/>
      <c r="S3" s="140"/>
      <c r="U3" s="140" t="s">
        <v>133</v>
      </c>
      <c r="V3" s="140"/>
      <c r="W3" s="140"/>
      <c r="X3" s="140"/>
      <c r="Y3" s="140"/>
      <c r="Z3" s="140"/>
      <c r="AA3" s="140"/>
      <c r="AB3" s="140"/>
      <c r="AC3" s="140"/>
      <c r="AD3" s="140"/>
      <c r="AF3" s="140" t="s">
        <v>133</v>
      </c>
      <c r="AG3" s="140"/>
      <c r="AH3" s="140"/>
      <c r="AI3" s="140"/>
      <c r="AJ3" s="140"/>
      <c r="AK3" s="140"/>
      <c r="AL3" s="140"/>
      <c r="AM3" s="140"/>
      <c r="AN3" s="140"/>
      <c r="AO3" s="140"/>
      <c r="AQ3" s="140" t="s">
        <v>133</v>
      </c>
      <c r="AR3" s="140"/>
      <c r="AS3" s="140"/>
      <c r="AT3" s="140"/>
      <c r="AU3" s="140"/>
      <c r="AV3" s="140"/>
      <c r="AW3" s="140"/>
      <c r="AX3" s="140"/>
      <c r="AY3" s="140"/>
      <c r="AZ3" s="140"/>
      <c r="BB3" s="140" t="s">
        <v>133</v>
      </c>
      <c r="BC3" s="140"/>
      <c r="BD3" s="140"/>
      <c r="BE3" s="140"/>
      <c r="BF3" s="140"/>
      <c r="BG3" s="140"/>
      <c r="BH3" s="140"/>
      <c r="BI3" s="140"/>
      <c r="BJ3" s="140"/>
      <c r="BK3" s="140"/>
      <c r="BM3" s="141" t="s">
        <v>134</v>
      </c>
      <c r="BN3" s="141"/>
      <c r="BO3" s="141"/>
      <c r="BP3" s="141"/>
      <c r="BQ3" s="141"/>
      <c r="BR3" s="141"/>
      <c r="BS3" s="141"/>
      <c r="BT3" s="141"/>
      <c r="BU3" s="141"/>
      <c r="BV3" s="141"/>
      <c r="BX3" s="140" t="s">
        <v>133</v>
      </c>
      <c r="BY3" s="140"/>
      <c r="BZ3" s="140"/>
      <c r="CA3" s="140"/>
      <c r="CB3" s="140"/>
      <c r="CC3" s="140"/>
      <c r="CD3" s="140"/>
      <c r="CE3" s="140"/>
      <c r="CF3" s="140"/>
      <c r="CG3" s="140"/>
      <c r="CI3" s="141" t="s">
        <v>134</v>
      </c>
      <c r="CJ3" s="141"/>
      <c r="CK3" s="141"/>
      <c r="CL3" s="141"/>
      <c r="CM3" s="141"/>
      <c r="CN3" s="141"/>
      <c r="CO3" s="141"/>
      <c r="CP3" s="141"/>
      <c r="CQ3" s="141"/>
      <c r="CR3" s="141"/>
      <c r="CT3" s="140" t="s">
        <v>133</v>
      </c>
      <c r="CU3" s="140"/>
      <c r="CV3" s="140"/>
      <c r="CW3" s="140"/>
      <c r="CX3" s="140"/>
      <c r="CY3" s="140"/>
      <c r="CZ3" s="140"/>
      <c r="DA3" s="140"/>
      <c r="DB3" s="140"/>
      <c r="DC3" s="140"/>
      <c r="DE3" s="141" t="s">
        <v>134</v>
      </c>
      <c r="DF3" s="141"/>
      <c r="DG3" s="141"/>
      <c r="DH3" s="141"/>
      <c r="DI3" s="141"/>
      <c r="DJ3" s="141"/>
      <c r="DK3" s="141"/>
      <c r="DL3" s="141"/>
      <c r="DM3" s="141"/>
      <c r="DN3" s="141"/>
      <c r="DP3" s="140" t="s">
        <v>133</v>
      </c>
      <c r="DQ3" s="140"/>
      <c r="DR3" s="140"/>
      <c r="DS3" s="140"/>
      <c r="DT3" s="140"/>
      <c r="DU3" s="140"/>
      <c r="DV3" s="140"/>
      <c r="DW3" s="140"/>
      <c r="DX3" s="140"/>
      <c r="DY3" s="140"/>
      <c r="EA3" s="141" t="s">
        <v>134</v>
      </c>
      <c r="EB3" s="141"/>
      <c r="EC3" s="141"/>
      <c r="ED3" s="141"/>
      <c r="EE3" s="141"/>
      <c r="EF3" s="141"/>
      <c r="EG3" s="141"/>
      <c r="EH3" s="141"/>
      <c r="EI3" s="141"/>
      <c r="EJ3" s="141"/>
      <c r="EL3" s="141" t="s">
        <v>134</v>
      </c>
      <c r="EM3" s="141"/>
      <c r="EN3" s="141"/>
      <c r="EO3" s="141"/>
      <c r="EP3" s="141"/>
      <c r="EQ3" s="141"/>
      <c r="ER3" s="141"/>
      <c r="ES3" s="141"/>
      <c r="ET3" s="141"/>
      <c r="EV3" s="141" t="s">
        <v>134</v>
      </c>
      <c r="EW3" s="141"/>
      <c r="EX3" s="141"/>
      <c r="EY3" s="141"/>
      <c r="EZ3" s="141"/>
      <c r="FA3" s="141"/>
      <c r="FB3" s="141"/>
      <c r="FC3" s="141"/>
      <c r="FD3" s="141"/>
      <c r="FF3" s="140" t="s">
        <v>133</v>
      </c>
      <c r="FG3" s="140"/>
      <c r="FH3" s="140"/>
      <c r="FI3" s="140"/>
      <c r="FJ3" s="140"/>
      <c r="FK3" s="140"/>
      <c r="FL3" s="140"/>
      <c r="FM3" s="140"/>
      <c r="FN3" s="140"/>
      <c r="FO3" s="140"/>
      <c r="FQ3" s="141" t="s">
        <v>134</v>
      </c>
      <c r="FR3" s="141"/>
      <c r="FS3" s="141"/>
      <c r="FT3" s="141"/>
      <c r="FU3" s="141"/>
      <c r="FV3" s="141"/>
      <c r="FW3" s="141"/>
      <c r="FX3" s="141"/>
      <c r="FY3" s="141"/>
      <c r="FZ3" s="141"/>
    </row>
    <row r="4" spans="1:183" ht="3.75" customHeight="1"/>
    <row r="5" spans="1:183" ht="13.5">
      <c r="B5" s="12" t="s">
        <v>64</v>
      </c>
      <c r="C5" s="12"/>
      <c r="D5" s="12"/>
      <c r="E5" s="13"/>
      <c r="F5" s="13"/>
      <c r="G5" s="13"/>
      <c r="H5" s="12"/>
      <c r="J5" s="13">
        <v>2022</v>
      </c>
      <c r="K5" s="13">
        <f>J5+1</f>
        <v>2023</v>
      </c>
      <c r="L5" s="13">
        <f t="shared" ref="L5:S5" si="0">K5+1</f>
        <v>2024</v>
      </c>
      <c r="M5" s="13">
        <f t="shared" si="0"/>
        <v>2025</v>
      </c>
      <c r="N5" s="13">
        <f t="shared" si="0"/>
        <v>2026</v>
      </c>
      <c r="O5" s="13">
        <f t="shared" si="0"/>
        <v>2027</v>
      </c>
      <c r="P5" s="13">
        <f t="shared" si="0"/>
        <v>2028</v>
      </c>
      <c r="Q5" s="13">
        <f t="shared" si="0"/>
        <v>2029</v>
      </c>
      <c r="R5" s="13">
        <f t="shared" si="0"/>
        <v>2030</v>
      </c>
      <c r="S5" s="13">
        <f t="shared" si="0"/>
        <v>2031</v>
      </c>
      <c r="U5" s="13">
        <v>2022</v>
      </c>
      <c r="V5" s="13">
        <f>U5+1</f>
        <v>2023</v>
      </c>
      <c r="W5" s="13">
        <f t="shared" ref="W5:AD5" si="1">V5+1</f>
        <v>2024</v>
      </c>
      <c r="X5" s="13">
        <f t="shared" si="1"/>
        <v>2025</v>
      </c>
      <c r="Y5" s="13">
        <f t="shared" si="1"/>
        <v>2026</v>
      </c>
      <c r="Z5" s="13">
        <f t="shared" si="1"/>
        <v>2027</v>
      </c>
      <c r="AA5" s="13">
        <f t="shared" si="1"/>
        <v>2028</v>
      </c>
      <c r="AB5" s="13">
        <f t="shared" si="1"/>
        <v>2029</v>
      </c>
      <c r="AC5" s="13">
        <f t="shared" si="1"/>
        <v>2030</v>
      </c>
      <c r="AD5" s="13">
        <f t="shared" si="1"/>
        <v>2031</v>
      </c>
      <c r="AF5" s="13">
        <v>2022</v>
      </c>
      <c r="AG5" s="13">
        <f>AF5+1</f>
        <v>2023</v>
      </c>
      <c r="AH5" s="13">
        <f t="shared" ref="AH5:AO5" si="2">AG5+1</f>
        <v>2024</v>
      </c>
      <c r="AI5" s="13">
        <f t="shared" si="2"/>
        <v>2025</v>
      </c>
      <c r="AJ5" s="13">
        <f t="shared" si="2"/>
        <v>2026</v>
      </c>
      <c r="AK5" s="13">
        <f t="shared" si="2"/>
        <v>2027</v>
      </c>
      <c r="AL5" s="13">
        <f t="shared" si="2"/>
        <v>2028</v>
      </c>
      <c r="AM5" s="13">
        <f t="shared" si="2"/>
        <v>2029</v>
      </c>
      <c r="AN5" s="13">
        <f t="shared" si="2"/>
        <v>2030</v>
      </c>
      <c r="AO5" s="13">
        <f t="shared" si="2"/>
        <v>2031</v>
      </c>
      <c r="AQ5" s="13">
        <v>2022</v>
      </c>
      <c r="AR5" s="13">
        <f>AQ5+1</f>
        <v>2023</v>
      </c>
      <c r="AS5" s="13">
        <f t="shared" ref="AS5:AZ5" si="3">AR5+1</f>
        <v>2024</v>
      </c>
      <c r="AT5" s="13">
        <f t="shared" si="3"/>
        <v>2025</v>
      </c>
      <c r="AU5" s="13">
        <f t="shared" si="3"/>
        <v>2026</v>
      </c>
      <c r="AV5" s="13">
        <f t="shared" si="3"/>
        <v>2027</v>
      </c>
      <c r="AW5" s="13">
        <f t="shared" si="3"/>
        <v>2028</v>
      </c>
      <c r="AX5" s="13">
        <f t="shared" si="3"/>
        <v>2029</v>
      </c>
      <c r="AY5" s="13">
        <f t="shared" si="3"/>
        <v>2030</v>
      </c>
      <c r="AZ5" s="13">
        <f t="shared" si="3"/>
        <v>2031</v>
      </c>
      <c r="BB5" s="13">
        <v>2022</v>
      </c>
      <c r="BC5" s="13">
        <f>BB5+1</f>
        <v>2023</v>
      </c>
      <c r="BD5" s="13">
        <f t="shared" ref="BD5:BK5" si="4">BC5+1</f>
        <v>2024</v>
      </c>
      <c r="BE5" s="13">
        <f t="shared" si="4"/>
        <v>2025</v>
      </c>
      <c r="BF5" s="13">
        <f t="shared" si="4"/>
        <v>2026</v>
      </c>
      <c r="BG5" s="13">
        <f t="shared" si="4"/>
        <v>2027</v>
      </c>
      <c r="BH5" s="13">
        <f t="shared" si="4"/>
        <v>2028</v>
      </c>
      <c r="BI5" s="13">
        <f t="shared" si="4"/>
        <v>2029</v>
      </c>
      <c r="BJ5" s="13">
        <f t="shared" si="4"/>
        <v>2030</v>
      </c>
      <c r="BK5" s="13">
        <f t="shared" si="4"/>
        <v>2031</v>
      </c>
      <c r="BM5" s="13">
        <v>2022</v>
      </c>
      <c r="BN5" s="13">
        <f>BM5+1</f>
        <v>2023</v>
      </c>
      <c r="BO5" s="13">
        <f t="shared" ref="BO5:BV5" si="5">BN5+1</f>
        <v>2024</v>
      </c>
      <c r="BP5" s="13">
        <f t="shared" si="5"/>
        <v>2025</v>
      </c>
      <c r="BQ5" s="13">
        <f t="shared" si="5"/>
        <v>2026</v>
      </c>
      <c r="BR5" s="13">
        <f t="shared" si="5"/>
        <v>2027</v>
      </c>
      <c r="BS5" s="13">
        <f t="shared" si="5"/>
        <v>2028</v>
      </c>
      <c r="BT5" s="13">
        <f t="shared" si="5"/>
        <v>2029</v>
      </c>
      <c r="BU5" s="13">
        <f t="shared" si="5"/>
        <v>2030</v>
      </c>
      <c r="BV5" s="13">
        <f t="shared" si="5"/>
        <v>2031</v>
      </c>
      <c r="BX5" s="13">
        <v>2022</v>
      </c>
      <c r="BY5" s="13">
        <f>BX5+1</f>
        <v>2023</v>
      </c>
      <c r="BZ5" s="13">
        <f t="shared" ref="BZ5:CG5" si="6">BY5+1</f>
        <v>2024</v>
      </c>
      <c r="CA5" s="13">
        <f t="shared" si="6"/>
        <v>2025</v>
      </c>
      <c r="CB5" s="13">
        <f t="shared" si="6"/>
        <v>2026</v>
      </c>
      <c r="CC5" s="13">
        <f t="shared" si="6"/>
        <v>2027</v>
      </c>
      <c r="CD5" s="13">
        <f t="shared" si="6"/>
        <v>2028</v>
      </c>
      <c r="CE5" s="13">
        <f t="shared" si="6"/>
        <v>2029</v>
      </c>
      <c r="CF5" s="13">
        <f t="shared" si="6"/>
        <v>2030</v>
      </c>
      <c r="CG5" s="13">
        <f t="shared" si="6"/>
        <v>2031</v>
      </c>
      <c r="CI5" s="13">
        <v>2022</v>
      </c>
      <c r="CJ5" s="13">
        <f>CI5+1</f>
        <v>2023</v>
      </c>
      <c r="CK5" s="13">
        <f t="shared" ref="CK5:CR5" si="7">CJ5+1</f>
        <v>2024</v>
      </c>
      <c r="CL5" s="13">
        <f t="shared" si="7"/>
        <v>2025</v>
      </c>
      <c r="CM5" s="13">
        <f t="shared" si="7"/>
        <v>2026</v>
      </c>
      <c r="CN5" s="13">
        <f t="shared" si="7"/>
        <v>2027</v>
      </c>
      <c r="CO5" s="13">
        <f t="shared" si="7"/>
        <v>2028</v>
      </c>
      <c r="CP5" s="13">
        <f t="shared" si="7"/>
        <v>2029</v>
      </c>
      <c r="CQ5" s="13">
        <f t="shared" si="7"/>
        <v>2030</v>
      </c>
      <c r="CR5" s="13">
        <f t="shared" si="7"/>
        <v>2031</v>
      </c>
      <c r="CT5" s="13">
        <v>2022</v>
      </c>
      <c r="CU5" s="13">
        <f>CT5+1</f>
        <v>2023</v>
      </c>
      <c r="CV5" s="13">
        <f t="shared" ref="CV5:DC5" si="8">CU5+1</f>
        <v>2024</v>
      </c>
      <c r="CW5" s="13">
        <f t="shared" si="8"/>
        <v>2025</v>
      </c>
      <c r="CX5" s="13">
        <f t="shared" si="8"/>
        <v>2026</v>
      </c>
      <c r="CY5" s="13">
        <f t="shared" si="8"/>
        <v>2027</v>
      </c>
      <c r="CZ5" s="13">
        <f t="shared" si="8"/>
        <v>2028</v>
      </c>
      <c r="DA5" s="13">
        <f t="shared" si="8"/>
        <v>2029</v>
      </c>
      <c r="DB5" s="13">
        <f t="shared" si="8"/>
        <v>2030</v>
      </c>
      <c r="DC5" s="13">
        <f t="shared" si="8"/>
        <v>2031</v>
      </c>
      <c r="DE5" s="13">
        <v>2022</v>
      </c>
      <c r="DF5" s="13">
        <f>DE5+1</f>
        <v>2023</v>
      </c>
      <c r="DG5" s="13">
        <f t="shared" ref="DG5:DN5" si="9">DF5+1</f>
        <v>2024</v>
      </c>
      <c r="DH5" s="13">
        <f t="shared" si="9"/>
        <v>2025</v>
      </c>
      <c r="DI5" s="13">
        <f t="shared" si="9"/>
        <v>2026</v>
      </c>
      <c r="DJ5" s="13">
        <f t="shared" si="9"/>
        <v>2027</v>
      </c>
      <c r="DK5" s="13">
        <f t="shared" si="9"/>
        <v>2028</v>
      </c>
      <c r="DL5" s="13">
        <f t="shared" si="9"/>
        <v>2029</v>
      </c>
      <c r="DM5" s="13">
        <f t="shared" si="9"/>
        <v>2030</v>
      </c>
      <c r="DN5" s="13">
        <f t="shared" si="9"/>
        <v>2031</v>
      </c>
      <c r="DP5" s="13">
        <v>2022</v>
      </c>
      <c r="DQ5" s="13">
        <f>DP5+1</f>
        <v>2023</v>
      </c>
      <c r="DR5" s="13">
        <f t="shared" ref="DR5:DY5" si="10">DQ5+1</f>
        <v>2024</v>
      </c>
      <c r="DS5" s="13">
        <f t="shared" si="10"/>
        <v>2025</v>
      </c>
      <c r="DT5" s="13">
        <f t="shared" si="10"/>
        <v>2026</v>
      </c>
      <c r="DU5" s="13">
        <f t="shared" si="10"/>
        <v>2027</v>
      </c>
      <c r="DV5" s="13">
        <f t="shared" si="10"/>
        <v>2028</v>
      </c>
      <c r="DW5" s="13">
        <f t="shared" si="10"/>
        <v>2029</v>
      </c>
      <c r="DX5" s="13">
        <f t="shared" si="10"/>
        <v>2030</v>
      </c>
      <c r="DY5" s="13">
        <f t="shared" si="10"/>
        <v>2031</v>
      </c>
      <c r="EA5" s="13">
        <v>2022</v>
      </c>
      <c r="EB5" s="13">
        <f>EA5+1</f>
        <v>2023</v>
      </c>
      <c r="EC5" s="13">
        <f t="shared" ref="EC5:EJ5" si="11">EB5+1</f>
        <v>2024</v>
      </c>
      <c r="ED5" s="13">
        <f t="shared" si="11"/>
        <v>2025</v>
      </c>
      <c r="EE5" s="13">
        <f t="shared" si="11"/>
        <v>2026</v>
      </c>
      <c r="EF5" s="13">
        <f t="shared" si="11"/>
        <v>2027</v>
      </c>
      <c r="EG5" s="13">
        <f t="shared" si="11"/>
        <v>2028</v>
      </c>
      <c r="EH5" s="13">
        <f t="shared" si="11"/>
        <v>2029</v>
      </c>
      <c r="EI5" s="13">
        <f t="shared" si="11"/>
        <v>2030</v>
      </c>
      <c r="EJ5" s="13">
        <f t="shared" si="11"/>
        <v>2031</v>
      </c>
      <c r="EL5" s="13">
        <v>2022</v>
      </c>
      <c r="EM5" s="13">
        <f>EL5+1</f>
        <v>2023</v>
      </c>
      <c r="EN5" s="13">
        <f t="shared" ref="EN5:ET5" si="12">EM5+1</f>
        <v>2024</v>
      </c>
      <c r="EO5" s="13">
        <f t="shared" si="12"/>
        <v>2025</v>
      </c>
      <c r="EP5" s="13">
        <f t="shared" si="12"/>
        <v>2026</v>
      </c>
      <c r="EQ5" s="13">
        <f t="shared" si="12"/>
        <v>2027</v>
      </c>
      <c r="ER5" s="13">
        <f t="shared" si="12"/>
        <v>2028</v>
      </c>
      <c r="ES5" s="13">
        <f t="shared" si="12"/>
        <v>2029</v>
      </c>
      <c r="ET5" s="13">
        <f t="shared" si="12"/>
        <v>2030</v>
      </c>
      <c r="EV5" s="13">
        <v>2022</v>
      </c>
      <c r="EW5" s="13">
        <f>EV5+1</f>
        <v>2023</v>
      </c>
      <c r="EX5" s="13">
        <f t="shared" ref="EX5:FD5" si="13">EW5+1</f>
        <v>2024</v>
      </c>
      <c r="EY5" s="13">
        <f t="shared" si="13"/>
        <v>2025</v>
      </c>
      <c r="EZ5" s="13">
        <f t="shared" si="13"/>
        <v>2026</v>
      </c>
      <c r="FA5" s="13">
        <f t="shared" si="13"/>
        <v>2027</v>
      </c>
      <c r="FB5" s="13">
        <f t="shared" si="13"/>
        <v>2028</v>
      </c>
      <c r="FC5" s="13">
        <f t="shared" si="13"/>
        <v>2029</v>
      </c>
      <c r="FD5" s="13">
        <f t="shared" si="13"/>
        <v>2030</v>
      </c>
      <c r="FF5" s="13">
        <v>2022</v>
      </c>
      <c r="FG5" s="13">
        <f>FF5+1</f>
        <v>2023</v>
      </c>
      <c r="FH5" s="13">
        <f t="shared" ref="FH5:FO5" si="14">FG5+1</f>
        <v>2024</v>
      </c>
      <c r="FI5" s="13">
        <f t="shared" si="14"/>
        <v>2025</v>
      </c>
      <c r="FJ5" s="13">
        <f t="shared" si="14"/>
        <v>2026</v>
      </c>
      <c r="FK5" s="13">
        <f t="shared" si="14"/>
        <v>2027</v>
      </c>
      <c r="FL5" s="13">
        <f t="shared" si="14"/>
        <v>2028</v>
      </c>
      <c r="FM5" s="13">
        <f t="shared" si="14"/>
        <v>2029</v>
      </c>
      <c r="FN5" s="13">
        <f t="shared" si="14"/>
        <v>2030</v>
      </c>
      <c r="FO5" s="13">
        <f t="shared" si="14"/>
        <v>2031</v>
      </c>
      <c r="FQ5" s="13">
        <v>2022</v>
      </c>
      <c r="FR5" s="13">
        <f>FQ5+1</f>
        <v>2023</v>
      </c>
      <c r="FS5" s="13">
        <f t="shared" ref="FS5:FZ5" si="15">FR5+1</f>
        <v>2024</v>
      </c>
      <c r="FT5" s="13">
        <f t="shared" si="15"/>
        <v>2025</v>
      </c>
      <c r="FU5" s="13">
        <f t="shared" si="15"/>
        <v>2026</v>
      </c>
      <c r="FV5" s="13">
        <f t="shared" si="15"/>
        <v>2027</v>
      </c>
      <c r="FW5" s="13">
        <f t="shared" si="15"/>
        <v>2028</v>
      </c>
      <c r="FX5" s="13">
        <f t="shared" si="15"/>
        <v>2029</v>
      </c>
      <c r="FY5" s="13">
        <f t="shared" si="15"/>
        <v>2030</v>
      </c>
      <c r="FZ5" s="13">
        <f t="shared" si="15"/>
        <v>2031</v>
      </c>
    </row>
    <row r="6" spans="1:183" ht="3.75" customHeight="1">
      <c r="B6" s="100"/>
      <c r="C6" s="100"/>
      <c r="D6" s="100"/>
      <c r="H6" s="100"/>
    </row>
    <row r="7" spans="1:183" ht="13.5">
      <c r="B7" s="142" t="s">
        <v>135</v>
      </c>
      <c r="C7" s="142"/>
      <c r="D7" s="142" t="s">
        <v>136</v>
      </c>
      <c r="E7" s="142" t="s">
        <v>137</v>
      </c>
      <c r="F7" s="142" t="s">
        <v>138</v>
      </c>
      <c r="G7" s="142" t="s">
        <v>139</v>
      </c>
      <c r="H7" s="142" t="s">
        <v>140</v>
      </c>
      <c r="J7" s="157" t="s">
        <v>141</v>
      </c>
      <c r="K7" s="158"/>
      <c r="L7" s="158"/>
      <c r="M7" s="158"/>
      <c r="N7" s="158"/>
      <c r="O7" s="158"/>
      <c r="P7" s="158"/>
      <c r="Q7" s="158"/>
      <c r="R7" s="158"/>
      <c r="S7" s="158"/>
      <c r="U7" s="157" t="s">
        <v>142</v>
      </c>
      <c r="V7" s="158"/>
      <c r="W7" s="158"/>
      <c r="X7" s="158"/>
      <c r="Y7" s="158"/>
      <c r="Z7" s="158"/>
      <c r="AA7" s="158"/>
      <c r="AB7" s="158"/>
      <c r="AC7" s="158"/>
      <c r="AD7" s="158"/>
      <c r="AF7" s="157" t="s">
        <v>143</v>
      </c>
      <c r="AG7" s="158"/>
      <c r="AH7" s="158"/>
      <c r="AI7" s="158"/>
      <c r="AJ7" s="158"/>
      <c r="AK7" s="158"/>
      <c r="AL7" s="158"/>
      <c r="AM7" s="158"/>
      <c r="AN7" s="158"/>
      <c r="AO7" s="158"/>
      <c r="AQ7" s="157" t="s">
        <v>144</v>
      </c>
      <c r="AR7" s="158"/>
      <c r="AS7" s="158"/>
      <c r="AT7" s="158"/>
      <c r="AU7" s="158"/>
      <c r="AV7" s="158"/>
      <c r="AW7" s="158"/>
      <c r="AX7" s="158"/>
      <c r="AY7" s="158"/>
      <c r="AZ7" s="158"/>
      <c r="BB7" s="157" t="s">
        <v>145</v>
      </c>
      <c r="BC7" s="158"/>
      <c r="BD7" s="158"/>
      <c r="BE7" s="158"/>
      <c r="BF7" s="158"/>
      <c r="BG7" s="158"/>
      <c r="BH7" s="158"/>
      <c r="BI7" s="158"/>
      <c r="BJ7" s="158"/>
      <c r="BK7" s="158"/>
      <c r="BM7" s="143" t="s">
        <v>120</v>
      </c>
      <c r="BN7" s="144"/>
      <c r="BO7" s="144"/>
      <c r="BP7" s="144"/>
      <c r="BQ7" s="144"/>
      <c r="BR7" s="144"/>
      <c r="BS7" s="144"/>
      <c r="BT7" s="144"/>
      <c r="BU7" s="144"/>
      <c r="BV7" s="144"/>
      <c r="BX7" s="162" t="s">
        <v>146</v>
      </c>
      <c r="BY7" s="163"/>
      <c r="BZ7" s="163"/>
      <c r="CA7" s="163"/>
      <c r="CB7" s="163"/>
      <c r="CC7" s="163"/>
      <c r="CD7" s="163"/>
      <c r="CE7" s="163"/>
      <c r="CF7" s="163"/>
      <c r="CG7" s="163"/>
      <c r="CI7" s="145" t="s">
        <v>147</v>
      </c>
      <c r="CJ7" s="146"/>
      <c r="CK7" s="146"/>
      <c r="CL7" s="146"/>
      <c r="CM7" s="146"/>
      <c r="CN7" s="146"/>
      <c r="CO7" s="146"/>
      <c r="CP7" s="146"/>
      <c r="CQ7" s="146"/>
      <c r="CR7" s="146"/>
      <c r="CT7" s="157" t="s">
        <v>148</v>
      </c>
      <c r="CU7" s="158"/>
      <c r="CV7" s="158"/>
      <c r="CW7" s="158"/>
      <c r="CX7" s="158"/>
      <c r="CY7" s="158"/>
      <c r="CZ7" s="158"/>
      <c r="DA7" s="158"/>
      <c r="DB7" s="158"/>
      <c r="DC7" s="158"/>
      <c r="DE7" s="143" t="s">
        <v>149</v>
      </c>
      <c r="DF7" s="144"/>
      <c r="DG7" s="144"/>
      <c r="DH7" s="144"/>
      <c r="DI7" s="144"/>
      <c r="DJ7" s="144"/>
      <c r="DK7" s="144"/>
      <c r="DL7" s="144"/>
      <c r="DM7" s="144"/>
      <c r="DN7" s="144"/>
      <c r="DP7" s="145" t="s">
        <v>150</v>
      </c>
      <c r="DQ7" s="146"/>
      <c r="DR7" s="146"/>
      <c r="DS7" s="146"/>
      <c r="DT7" s="146"/>
      <c r="DU7" s="146"/>
      <c r="DV7" s="146"/>
      <c r="DW7" s="146"/>
      <c r="DX7" s="146"/>
      <c r="DY7" s="146"/>
      <c r="EA7" s="143" t="s">
        <v>66</v>
      </c>
      <c r="EB7" s="144"/>
      <c r="EC7" s="144"/>
      <c r="ED7" s="144"/>
      <c r="EE7" s="144"/>
      <c r="EF7" s="144"/>
      <c r="EG7" s="144"/>
      <c r="EH7" s="144"/>
      <c r="EI7" s="144"/>
      <c r="EJ7" s="144"/>
      <c r="EL7" s="147" t="s">
        <v>151</v>
      </c>
      <c r="EM7" s="148"/>
      <c r="EN7" s="148"/>
      <c r="EO7" s="148"/>
      <c r="EP7" s="148"/>
      <c r="EQ7" s="148"/>
      <c r="ER7" s="148"/>
      <c r="ES7" s="148"/>
      <c r="ET7" s="148"/>
      <c r="EV7" s="147" t="s">
        <v>152</v>
      </c>
      <c r="EW7" s="148"/>
      <c r="EX7" s="148"/>
      <c r="EY7" s="148"/>
      <c r="EZ7" s="148"/>
      <c r="FA7" s="148"/>
      <c r="FB7" s="148"/>
      <c r="FC7" s="148"/>
      <c r="FD7" s="148"/>
      <c r="FF7" s="147" t="s">
        <v>153</v>
      </c>
      <c r="FG7" s="148"/>
      <c r="FH7" s="148"/>
      <c r="FI7" s="148"/>
      <c r="FJ7" s="148"/>
      <c r="FK7" s="148"/>
      <c r="FL7" s="148"/>
      <c r="FM7" s="148"/>
      <c r="FN7" s="148"/>
      <c r="FO7" s="148"/>
      <c r="FQ7" s="149" t="s">
        <v>77</v>
      </c>
      <c r="FR7" s="150"/>
      <c r="FS7" s="150"/>
      <c r="FT7" s="150"/>
      <c r="FU7" s="150"/>
      <c r="FV7" s="150"/>
      <c r="FW7" s="150"/>
      <c r="FX7" s="150"/>
      <c r="FY7" s="150"/>
      <c r="FZ7" s="150"/>
    </row>
    <row r="8" spans="1:183" ht="13.5">
      <c r="B8" s="124" t="s">
        <v>175</v>
      </c>
      <c r="C8" s="124" t="s">
        <v>169</v>
      </c>
      <c r="D8" s="124" t="s">
        <v>121</v>
      </c>
      <c r="E8" s="151">
        <v>0.02</v>
      </c>
      <c r="F8" s="170">
        <v>0.25110000000000005</v>
      </c>
      <c r="G8" s="151">
        <v>1</v>
      </c>
      <c r="H8" s="124" t="s">
        <v>176</v>
      </c>
      <c r="J8" s="125">
        <v>0</v>
      </c>
      <c r="K8" s="125">
        <v>0</v>
      </c>
      <c r="L8" s="125">
        <v>0</v>
      </c>
      <c r="M8" s="125">
        <v>0</v>
      </c>
      <c r="N8" s="125">
        <v>0</v>
      </c>
      <c r="O8" s="125">
        <v>0</v>
      </c>
      <c r="P8" s="125">
        <v>0</v>
      </c>
      <c r="Q8" s="125">
        <v>0</v>
      </c>
      <c r="R8" s="125">
        <v>0</v>
      </c>
      <c r="S8" s="125">
        <v>0</v>
      </c>
      <c r="U8" s="125"/>
      <c r="V8" s="125"/>
      <c r="W8" s="125"/>
      <c r="X8" s="125"/>
      <c r="Y8" s="125"/>
      <c r="Z8" s="125"/>
      <c r="AA8" s="125">
        <v>39</v>
      </c>
      <c r="AB8" s="125">
        <v>52</v>
      </c>
      <c r="AC8" s="125">
        <v>52</v>
      </c>
      <c r="AD8" s="125">
        <f>AC8</f>
        <v>52</v>
      </c>
      <c r="AF8" s="164"/>
      <c r="AG8" s="164"/>
      <c r="AH8" s="164"/>
      <c r="AI8" s="164"/>
      <c r="AJ8" s="164"/>
      <c r="AK8" s="164"/>
      <c r="AL8" s="164">
        <v>0.75</v>
      </c>
      <c r="AM8" s="164">
        <v>0.75</v>
      </c>
      <c r="AN8" s="164">
        <v>0.75</v>
      </c>
      <c r="AO8" s="164">
        <f t="shared" ref="AO8:AO23" si="16">AN8</f>
        <v>0.75</v>
      </c>
      <c r="AQ8" s="125"/>
      <c r="AR8" s="125"/>
      <c r="AS8" s="125"/>
      <c r="AT8" s="125"/>
      <c r="AU8" s="125"/>
      <c r="AV8" s="125"/>
      <c r="AW8" s="125">
        <v>1485.0000000000002</v>
      </c>
      <c r="AX8" s="125">
        <v>2160</v>
      </c>
      <c r="AY8" s="125">
        <v>2700</v>
      </c>
      <c r="AZ8" s="125">
        <f t="shared" ref="AZ8:AZ23" si="17">AY8</f>
        <v>2700</v>
      </c>
      <c r="BB8" s="125"/>
      <c r="BC8" s="125"/>
      <c r="BD8" s="125"/>
      <c r="BE8" s="125"/>
      <c r="BF8" s="125"/>
      <c r="BG8" s="125"/>
      <c r="BH8" s="125">
        <v>6</v>
      </c>
      <c r="BI8" s="125">
        <v>10</v>
      </c>
      <c r="BJ8" s="125">
        <v>12</v>
      </c>
      <c r="BK8" s="125">
        <f t="shared" ref="BK8:BK23" si="18">BJ8</f>
        <v>12</v>
      </c>
      <c r="BM8" s="125">
        <f t="shared" ref="BM8:BV23" si="19">(J8*U8*AF8*AQ8*BB8)/1000</f>
        <v>0</v>
      </c>
      <c r="BN8" s="125">
        <f t="shared" si="19"/>
        <v>0</v>
      </c>
      <c r="BO8" s="125">
        <f t="shared" si="19"/>
        <v>0</v>
      </c>
      <c r="BP8" s="125">
        <f t="shared" si="19"/>
        <v>0</v>
      </c>
      <c r="BQ8" s="125">
        <f t="shared" si="19"/>
        <v>0</v>
      </c>
      <c r="BR8" s="125">
        <f t="shared" si="19"/>
        <v>0</v>
      </c>
      <c r="BS8" s="125">
        <f t="shared" si="19"/>
        <v>0</v>
      </c>
      <c r="BT8" s="125">
        <f t="shared" si="19"/>
        <v>0</v>
      </c>
      <c r="BU8" s="125">
        <f t="shared" si="19"/>
        <v>0</v>
      </c>
      <c r="BV8" s="125">
        <f t="shared" si="19"/>
        <v>0</v>
      </c>
      <c r="BX8" s="159"/>
      <c r="BY8" s="159"/>
      <c r="BZ8" s="159"/>
      <c r="CA8" s="159"/>
      <c r="CB8" s="159"/>
      <c r="CC8" s="159"/>
      <c r="CD8" s="159">
        <v>2.9599110000000004</v>
      </c>
      <c r="CE8" s="159">
        <v>3.0487083300000006</v>
      </c>
      <c r="CF8" s="159">
        <f>CE8*(1+$CD$2)</f>
        <v>3.1401695799000007</v>
      </c>
      <c r="CG8" s="159">
        <f t="shared" ref="CG8:CG23" si="20">CF8*(1+$CD$2)</f>
        <v>3.2343746672970006</v>
      </c>
      <c r="CI8" s="128">
        <f t="shared" ref="CI8:CR23" si="21">+BX8*BM8</f>
        <v>0</v>
      </c>
      <c r="CJ8" s="128">
        <f t="shared" si="21"/>
        <v>0</v>
      </c>
      <c r="CK8" s="166">
        <f t="shared" si="21"/>
        <v>0</v>
      </c>
      <c r="CL8" s="166">
        <f t="shared" si="21"/>
        <v>0</v>
      </c>
      <c r="CM8" s="166">
        <f t="shared" si="21"/>
        <v>0</v>
      </c>
      <c r="CN8" s="277">
        <f t="shared" si="21"/>
        <v>0</v>
      </c>
      <c r="CO8" s="277">
        <f t="shared" si="21"/>
        <v>0</v>
      </c>
      <c r="CP8" s="277">
        <f t="shared" si="21"/>
        <v>0</v>
      </c>
      <c r="CQ8" s="277">
        <f>+CF8*BU8</f>
        <v>0</v>
      </c>
      <c r="CR8" s="277">
        <f t="shared" si="21"/>
        <v>0</v>
      </c>
      <c r="CT8" s="168">
        <v>0.3</v>
      </c>
      <c r="CU8" s="168">
        <v>0.3</v>
      </c>
      <c r="CV8" s="168">
        <v>0.3</v>
      </c>
      <c r="CW8" s="168">
        <v>0.3</v>
      </c>
      <c r="CX8" s="168">
        <v>0.3</v>
      </c>
      <c r="CY8" s="168">
        <v>0.3</v>
      </c>
      <c r="CZ8" s="168">
        <v>0.3</v>
      </c>
      <c r="DA8" s="168">
        <v>0.3</v>
      </c>
      <c r="DB8" s="168">
        <v>0.3</v>
      </c>
      <c r="DC8" s="168">
        <v>0.3</v>
      </c>
      <c r="DE8" s="128">
        <f t="shared" ref="DE8:DN40" si="22">-CI8*CT8</f>
        <v>0</v>
      </c>
      <c r="DF8" s="128">
        <f t="shared" si="22"/>
        <v>0</v>
      </c>
      <c r="DG8" s="128">
        <f t="shared" si="22"/>
        <v>0</v>
      </c>
      <c r="DH8" s="128">
        <f t="shared" si="22"/>
        <v>0</v>
      </c>
      <c r="DI8" s="128">
        <f t="shared" si="22"/>
        <v>0</v>
      </c>
      <c r="DJ8" s="128">
        <f t="shared" si="22"/>
        <v>0</v>
      </c>
      <c r="DK8" s="128">
        <f t="shared" si="22"/>
        <v>0</v>
      </c>
      <c r="DL8" s="128">
        <f t="shared" si="22"/>
        <v>0</v>
      </c>
      <c r="DM8" s="128">
        <f t="shared" si="22"/>
        <v>0</v>
      </c>
      <c r="DN8" s="128">
        <f t="shared" si="22"/>
        <v>0</v>
      </c>
      <c r="DP8" s="128"/>
      <c r="DQ8" s="128"/>
      <c r="DR8" s="128"/>
      <c r="DS8" s="128"/>
      <c r="DT8" s="128"/>
      <c r="DU8" s="128"/>
      <c r="DV8" s="128"/>
      <c r="DW8" s="128"/>
      <c r="DX8" s="128"/>
      <c r="DY8" s="128"/>
      <c r="EA8" s="128">
        <f t="shared" ref="EA8:EK23" si="23">CI8+DE8+DP8</f>
        <v>0</v>
      </c>
      <c r="EB8" s="128">
        <f t="shared" si="23"/>
        <v>0</v>
      </c>
      <c r="EC8" s="128">
        <f t="shared" si="23"/>
        <v>0</v>
      </c>
      <c r="ED8" s="128">
        <f t="shared" si="23"/>
        <v>0</v>
      </c>
      <c r="EE8" s="128">
        <f t="shared" si="23"/>
        <v>0</v>
      </c>
      <c r="EF8" s="128">
        <f t="shared" si="23"/>
        <v>0</v>
      </c>
      <c r="EG8" s="128">
        <f t="shared" si="23"/>
        <v>0</v>
      </c>
      <c r="EH8" s="128">
        <f t="shared" si="23"/>
        <v>0</v>
      </c>
      <c r="EI8" s="128">
        <f t="shared" si="23"/>
        <v>0</v>
      </c>
      <c r="EJ8" s="128">
        <f t="shared" si="23"/>
        <v>0</v>
      </c>
      <c r="EK8" s="8">
        <f t="shared" si="23"/>
        <v>0</v>
      </c>
      <c r="EL8" s="125">
        <f t="shared" ref="EL8:ET23" si="24">BM8 * $E8*$F8*$G8</f>
        <v>0</v>
      </c>
      <c r="EM8" s="125">
        <f t="shared" si="24"/>
        <v>0</v>
      </c>
      <c r="EN8" s="125">
        <f t="shared" si="24"/>
        <v>0</v>
      </c>
      <c r="EO8" s="125">
        <f t="shared" si="24"/>
        <v>0</v>
      </c>
      <c r="EP8" s="125">
        <f t="shared" si="24"/>
        <v>0</v>
      </c>
      <c r="EQ8" s="125">
        <f t="shared" si="24"/>
        <v>0</v>
      </c>
      <c r="ER8" s="125">
        <f t="shared" si="24"/>
        <v>0</v>
      </c>
      <c r="ES8" s="125">
        <f t="shared" si="24"/>
        <v>0</v>
      </c>
      <c r="ET8" s="125">
        <f t="shared" si="24"/>
        <v>0</v>
      </c>
      <c r="EU8" s="8">
        <f t="shared" ref="EU8:EU23" si="25">IFERROR(EL8/EL$44, 0)</f>
        <v>0</v>
      </c>
      <c r="EV8" s="127">
        <f t="shared" ref="EV8:FD43" si="26">IFERROR(EL8/EL$44, 0)</f>
        <v>0</v>
      </c>
      <c r="EW8" s="127">
        <f t="shared" si="26"/>
        <v>0</v>
      </c>
      <c r="EX8" s="127">
        <f t="shared" si="26"/>
        <v>0</v>
      </c>
      <c r="EY8" s="127">
        <f t="shared" si="26"/>
        <v>0</v>
      </c>
      <c r="EZ8" s="127">
        <f t="shared" si="26"/>
        <v>0</v>
      </c>
      <c r="FA8" s="127">
        <f t="shared" si="26"/>
        <v>0</v>
      </c>
      <c r="FB8" s="127">
        <f t="shared" si="26"/>
        <v>0</v>
      </c>
      <c r="FC8" s="127">
        <f t="shared" si="26"/>
        <v>0</v>
      </c>
      <c r="FD8" s="127">
        <f t="shared" si="26"/>
        <v>0</v>
      </c>
      <c r="FF8" s="127"/>
      <c r="FG8" s="127"/>
      <c r="FH8" s="127"/>
      <c r="FI8" s="127"/>
      <c r="FJ8" s="127"/>
      <c r="FK8" s="127"/>
      <c r="FL8" s="127">
        <v>0.15000000000000002</v>
      </c>
      <c r="FM8" s="127">
        <v>0.22999999999999995</v>
      </c>
      <c r="FN8" s="127">
        <v>0.23854773928283424</v>
      </c>
      <c r="FO8" s="127">
        <v>0.23847945412961566</v>
      </c>
      <c r="FQ8" s="128">
        <f t="shared" ref="FQ8:FZ23" si="27">EA8*(1-FF8)</f>
        <v>0</v>
      </c>
      <c r="FR8" s="128">
        <f t="shared" si="27"/>
        <v>0</v>
      </c>
      <c r="FS8" s="128">
        <f t="shared" si="27"/>
        <v>0</v>
      </c>
      <c r="FT8" s="128">
        <f t="shared" si="27"/>
        <v>0</v>
      </c>
      <c r="FU8" s="128">
        <f t="shared" si="27"/>
        <v>0</v>
      </c>
      <c r="FV8" s="128">
        <f t="shared" si="27"/>
        <v>0</v>
      </c>
      <c r="FW8" s="128">
        <f t="shared" si="27"/>
        <v>0</v>
      </c>
      <c r="FX8" s="128">
        <f t="shared" si="27"/>
        <v>0</v>
      </c>
      <c r="FY8" s="128">
        <f t="shared" si="27"/>
        <v>0</v>
      </c>
      <c r="FZ8" s="128">
        <f t="shared" si="27"/>
        <v>0</v>
      </c>
      <c r="GA8" s="8">
        <f t="shared" ref="GA8:GA23" si="28">EJ8*(1-FP8)</f>
        <v>0</v>
      </c>
    </row>
    <row r="9" spans="1:183" ht="13.5">
      <c r="B9" s="19" t="s">
        <v>175</v>
      </c>
      <c r="C9" s="124" t="s">
        <v>169</v>
      </c>
      <c r="D9" s="19" t="s">
        <v>129</v>
      </c>
      <c r="E9" s="151">
        <v>0.02</v>
      </c>
      <c r="F9" s="170">
        <v>1</v>
      </c>
      <c r="G9" s="151">
        <v>1</v>
      </c>
      <c r="H9" s="124" t="s">
        <v>177</v>
      </c>
      <c r="J9" s="152">
        <v>0</v>
      </c>
      <c r="K9" s="152">
        <v>0</v>
      </c>
      <c r="L9" s="125">
        <v>0</v>
      </c>
      <c r="M9" s="125">
        <v>0</v>
      </c>
      <c r="N9" s="125">
        <v>0</v>
      </c>
      <c r="O9" s="125">
        <v>0</v>
      </c>
      <c r="P9" s="125">
        <v>0</v>
      </c>
      <c r="Q9" s="125">
        <v>0</v>
      </c>
      <c r="R9" s="125">
        <v>0</v>
      </c>
      <c r="S9" s="125">
        <v>0</v>
      </c>
      <c r="U9" s="152"/>
      <c r="V9" s="152"/>
      <c r="W9" s="152"/>
      <c r="X9" s="125"/>
      <c r="Y9" s="125"/>
      <c r="Z9" s="125"/>
      <c r="AA9" s="125">
        <v>26</v>
      </c>
      <c r="AB9" s="125">
        <v>52</v>
      </c>
      <c r="AC9" s="125">
        <v>52</v>
      </c>
      <c r="AD9" s="125">
        <f t="shared" ref="AD9:AD23" si="29">AD8</f>
        <v>52</v>
      </c>
      <c r="AF9" s="165"/>
      <c r="AG9" s="165"/>
      <c r="AH9" s="165"/>
      <c r="AI9" s="165"/>
      <c r="AJ9" s="165"/>
      <c r="AK9" s="165"/>
      <c r="AL9" s="165">
        <v>0.9</v>
      </c>
      <c r="AM9" s="165">
        <v>0.9</v>
      </c>
      <c r="AN9" s="165">
        <v>0.9</v>
      </c>
      <c r="AO9" s="165">
        <f t="shared" si="16"/>
        <v>0.9</v>
      </c>
      <c r="AQ9" s="152"/>
      <c r="AR9" s="152"/>
      <c r="AS9" s="152"/>
      <c r="AT9" s="152"/>
      <c r="AU9" s="152"/>
      <c r="AV9" s="152"/>
      <c r="AW9" s="152">
        <v>1485.0000000000002</v>
      </c>
      <c r="AX9" s="152">
        <v>2160</v>
      </c>
      <c r="AY9" s="152">
        <v>2700</v>
      </c>
      <c r="AZ9" s="152">
        <f t="shared" si="17"/>
        <v>2700</v>
      </c>
      <c r="BB9" s="152"/>
      <c r="BC9" s="152"/>
      <c r="BD9" s="152"/>
      <c r="BE9" s="152"/>
      <c r="BF9" s="152"/>
      <c r="BG9" s="152"/>
      <c r="BH9" s="152">
        <v>1</v>
      </c>
      <c r="BI9" s="152">
        <v>3</v>
      </c>
      <c r="BJ9" s="152">
        <v>3</v>
      </c>
      <c r="BK9" s="152">
        <f t="shared" si="18"/>
        <v>3</v>
      </c>
      <c r="BM9" s="167">
        <f t="shared" si="19"/>
        <v>0</v>
      </c>
      <c r="BN9" s="152">
        <f t="shared" si="19"/>
        <v>0</v>
      </c>
      <c r="BO9" s="152">
        <f t="shared" si="19"/>
        <v>0</v>
      </c>
      <c r="BP9" s="152">
        <f t="shared" si="19"/>
        <v>0</v>
      </c>
      <c r="BQ9" s="152">
        <f t="shared" si="19"/>
        <v>0</v>
      </c>
      <c r="BR9" s="152">
        <f t="shared" si="19"/>
        <v>0</v>
      </c>
      <c r="BS9" s="152">
        <f t="shared" si="19"/>
        <v>0</v>
      </c>
      <c r="BT9" s="152">
        <f t="shared" si="19"/>
        <v>0</v>
      </c>
      <c r="BU9" s="152">
        <f t="shared" si="19"/>
        <v>0</v>
      </c>
      <c r="BV9" s="152">
        <f t="shared" si="19"/>
        <v>0</v>
      </c>
      <c r="BX9" s="160"/>
      <c r="BY9" s="159"/>
      <c r="BZ9" s="159"/>
      <c r="CA9" s="159"/>
      <c r="CB9" s="159"/>
      <c r="CC9" s="159"/>
      <c r="CD9" s="159">
        <v>1.7107012499999998</v>
      </c>
      <c r="CE9" s="159">
        <v>1.7620222874999998</v>
      </c>
      <c r="CF9" s="159">
        <f t="shared" ref="CF9:CF23" si="30">CE9*(1+$CD$2)</f>
        <v>1.8148829561249997</v>
      </c>
      <c r="CG9" s="159">
        <f t="shared" si="20"/>
        <v>1.8693294448087499</v>
      </c>
      <c r="CI9" s="128">
        <f t="shared" si="21"/>
        <v>0</v>
      </c>
      <c r="CJ9" s="128">
        <f t="shared" si="21"/>
        <v>0</v>
      </c>
      <c r="CK9" s="161">
        <f t="shared" si="21"/>
        <v>0</v>
      </c>
      <c r="CL9" s="161">
        <f t="shared" si="21"/>
        <v>0</v>
      </c>
      <c r="CM9" s="161">
        <f t="shared" si="21"/>
        <v>0</v>
      </c>
      <c r="CN9" s="278">
        <f t="shared" si="21"/>
        <v>0</v>
      </c>
      <c r="CO9" s="278">
        <f t="shared" si="21"/>
        <v>0</v>
      </c>
      <c r="CP9" s="278">
        <f t="shared" si="21"/>
        <v>0</v>
      </c>
      <c r="CQ9" s="278">
        <f t="shared" si="21"/>
        <v>0</v>
      </c>
      <c r="CR9" s="278">
        <f t="shared" si="21"/>
        <v>0</v>
      </c>
      <c r="CT9" s="168">
        <v>0.3</v>
      </c>
      <c r="CU9" s="168">
        <v>0.3</v>
      </c>
      <c r="CV9" s="168">
        <v>0.3</v>
      </c>
      <c r="CW9" s="168">
        <v>0.3</v>
      </c>
      <c r="CX9" s="168">
        <v>0.3</v>
      </c>
      <c r="CY9" s="168">
        <v>0.3</v>
      </c>
      <c r="CZ9" s="168">
        <v>0.3</v>
      </c>
      <c r="DA9" s="168">
        <v>0.3</v>
      </c>
      <c r="DB9" s="168">
        <v>0.3</v>
      </c>
      <c r="DC9" s="168">
        <v>0.3</v>
      </c>
      <c r="DE9" s="20">
        <f t="shared" si="22"/>
        <v>0</v>
      </c>
      <c r="DF9" s="128">
        <f t="shared" si="22"/>
        <v>0</v>
      </c>
      <c r="DG9" s="20">
        <f t="shared" si="22"/>
        <v>0</v>
      </c>
      <c r="DH9" s="20">
        <f t="shared" si="22"/>
        <v>0</v>
      </c>
      <c r="DI9" s="20">
        <f t="shared" si="22"/>
        <v>0</v>
      </c>
      <c r="DJ9" s="20">
        <f t="shared" si="22"/>
        <v>0</v>
      </c>
      <c r="DK9" s="20">
        <f t="shared" si="22"/>
        <v>0</v>
      </c>
      <c r="DL9" s="20">
        <f t="shared" si="22"/>
        <v>0</v>
      </c>
      <c r="DM9" s="20">
        <f t="shared" si="22"/>
        <v>0</v>
      </c>
      <c r="DN9" s="20">
        <f t="shared" si="22"/>
        <v>0</v>
      </c>
      <c r="DP9" s="20"/>
      <c r="DQ9" s="20"/>
      <c r="DR9" s="20"/>
      <c r="DS9" s="20"/>
      <c r="DT9" s="20"/>
      <c r="DU9" s="20"/>
      <c r="DV9" s="20"/>
      <c r="DW9" s="20"/>
      <c r="DX9" s="20"/>
      <c r="DY9" s="20"/>
      <c r="EA9" s="20">
        <f t="shared" si="23"/>
        <v>0</v>
      </c>
      <c r="EB9" s="20">
        <f t="shared" si="23"/>
        <v>0</v>
      </c>
      <c r="EC9" s="20">
        <f t="shared" si="23"/>
        <v>0</v>
      </c>
      <c r="ED9" s="20">
        <f t="shared" si="23"/>
        <v>0</v>
      </c>
      <c r="EE9" s="20">
        <f t="shared" si="23"/>
        <v>0</v>
      </c>
      <c r="EF9" s="20">
        <f t="shared" si="23"/>
        <v>0</v>
      </c>
      <c r="EG9" s="20">
        <f t="shared" si="23"/>
        <v>0</v>
      </c>
      <c r="EH9" s="20">
        <f t="shared" si="23"/>
        <v>0</v>
      </c>
      <c r="EI9" s="20">
        <f t="shared" si="23"/>
        <v>0</v>
      </c>
      <c r="EJ9" s="20">
        <f t="shared" si="23"/>
        <v>0</v>
      </c>
      <c r="EK9" s="8">
        <f t="shared" si="23"/>
        <v>0</v>
      </c>
      <c r="EL9" s="125">
        <f t="shared" si="24"/>
        <v>0</v>
      </c>
      <c r="EM9" s="125">
        <f t="shared" si="24"/>
        <v>0</v>
      </c>
      <c r="EN9" s="125">
        <f t="shared" si="24"/>
        <v>0</v>
      </c>
      <c r="EO9" s="125">
        <f t="shared" si="24"/>
        <v>0</v>
      </c>
      <c r="EP9" s="125">
        <f t="shared" si="24"/>
        <v>0</v>
      </c>
      <c r="EQ9" s="125">
        <f t="shared" si="24"/>
        <v>0</v>
      </c>
      <c r="ER9" s="125">
        <f t="shared" si="24"/>
        <v>0</v>
      </c>
      <c r="ES9" s="125">
        <f t="shared" si="24"/>
        <v>0</v>
      </c>
      <c r="ET9" s="125">
        <f t="shared" si="24"/>
        <v>0</v>
      </c>
      <c r="EU9" s="8">
        <f t="shared" si="25"/>
        <v>0</v>
      </c>
      <c r="EV9" s="127">
        <f t="shared" si="26"/>
        <v>0</v>
      </c>
      <c r="EW9" s="127">
        <f t="shared" si="26"/>
        <v>0</v>
      </c>
      <c r="EX9" s="127">
        <f t="shared" si="26"/>
        <v>0</v>
      </c>
      <c r="EY9" s="127">
        <f t="shared" si="26"/>
        <v>0</v>
      </c>
      <c r="EZ9" s="127">
        <f t="shared" si="26"/>
        <v>0</v>
      </c>
      <c r="FA9" s="127">
        <f t="shared" si="26"/>
        <v>0</v>
      </c>
      <c r="FB9" s="127">
        <f t="shared" si="26"/>
        <v>0</v>
      </c>
      <c r="FC9" s="127">
        <f t="shared" si="26"/>
        <v>0</v>
      </c>
      <c r="FD9" s="127">
        <f t="shared" si="26"/>
        <v>0</v>
      </c>
      <c r="FF9" s="127"/>
      <c r="FG9" s="127"/>
      <c r="FH9" s="127"/>
      <c r="FI9" s="127"/>
      <c r="FJ9" s="127"/>
      <c r="FK9" s="127"/>
      <c r="FL9" s="127">
        <f>FL8</f>
        <v>0.15000000000000002</v>
      </c>
      <c r="FM9" s="127">
        <f t="shared" ref="FM9:FO23" si="31">FM8</f>
        <v>0.22999999999999995</v>
      </c>
      <c r="FN9" s="127">
        <f t="shared" si="31"/>
        <v>0.23854773928283424</v>
      </c>
      <c r="FO9" s="127">
        <f t="shared" si="31"/>
        <v>0.23847945412961566</v>
      </c>
      <c r="FQ9" s="128">
        <f t="shared" si="27"/>
        <v>0</v>
      </c>
      <c r="FR9" s="128">
        <f t="shared" si="27"/>
        <v>0</v>
      </c>
      <c r="FS9" s="128">
        <f t="shared" si="27"/>
        <v>0</v>
      </c>
      <c r="FT9" s="128">
        <f t="shared" si="27"/>
        <v>0</v>
      </c>
      <c r="FU9" s="128">
        <f t="shared" si="27"/>
        <v>0</v>
      </c>
      <c r="FV9" s="128">
        <f t="shared" si="27"/>
        <v>0</v>
      </c>
      <c r="FW9" s="128">
        <f t="shared" si="27"/>
        <v>0</v>
      </c>
      <c r="FX9" s="128">
        <f t="shared" si="27"/>
        <v>0</v>
      </c>
      <c r="FY9" s="128">
        <f t="shared" si="27"/>
        <v>0</v>
      </c>
      <c r="FZ9" s="128">
        <f t="shared" si="27"/>
        <v>0</v>
      </c>
      <c r="GA9" s="8">
        <f t="shared" si="28"/>
        <v>0</v>
      </c>
    </row>
    <row r="10" spans="1:183" ht="13.5">
      <c r="B10" s="19" t="s">
        <v>175</v>
      </c>
      <c r="C10" s="124" t="s">
        <v>169</v>
      </c>
      <c r="D10" s="19" t="s">
        <v>167</v>
      </c>
      <c r="E10" s="153">
        <v>0.02</v>
      </c>
      <c r="F10" s="170">
        <v>0.5</v>
      </c>
      <c r="G10" s="151">
        <v>1</v>
      </c>
      <c r="H10" s="19" t="s">
        <v>157</v>
      </c>
      <c r="J10" s="152">
        <v>0</v>
      </c>
      <c r="K10" s="152">
        <v>0</v>
      </c>
      <c r="L10" s="125">
        <v>0</v>
      </c>
      <c r="M10" s="125">
        <v>0</v>
      </c>
      <c r="N10" s="125">
        <v>0</v>
      </c>
      <c r="O10" s="125">
        <v>0</v>
      </c>
      <c r="P10" s="125">
        <v>0</v>
      </c>
      <c r="Q10" s="125">
        <v>0</v>
      </c>
      <c r="R10" s="125">
        <v>0</v>
      </c>
      <c r="S10" s="125">
        <v>0</v>
      </c>
      <c r="U10" s="152"/>
      <c r="V10" s="152"/>
      <c r="W10" s="152"/>
      <c r="X10" s="125"/>
      <c r="Y10" s="125"/>
      <c r="Z10" s="125"/>
      <c r="AA10" s="125"/>
      <c r="AB10" s="125">
        <v>39</v>
      </c>
      <c r="AC10" s="125">
        <v>52</v>
      </c>
      <c r="AD10" s="125">
        <f t="shared" si="29"/>
        <v>52</v>
      </c>
      <c r="AF10" s="165"/>
      <c r="AG10" s="165"/>
      <c r="AH10" s="165"/>
      <c r="AI10" s="165"/>
      <c r="AJ10" s="165"/>
      <c r="AK10" s="165"/>
      <c r="AL10" s="165">
        <v>0.9</v>
      </c>
      <c r="AM10" s="165">
        <v>0.9</v>
      </c>
      <c r="AN10" s="165">
        <v>0.9</v>
      </c>
      <c r="AO10" s="165">
        <f t="shared" si="16"/>
        <v>0.9</v>
      </c>
      <c r="AQ10" s="152"/>
      <c r="AR10" s="152"/>
      <c r="AS10" s="152"/>
      <c r="AT10" s="152"/>
      <c r="AU10" s="152"/>
      <c r="AV10" s="152"/>
      <c r="AW10" s="152">
        <v>0</v>
      </c>
      <c r="AX10" s="152">
        <v>1485.0000000000002</v>
      </c>
      <c r="AY10" s="152">
        <v>2160</v>
      </c>
      <c r="AZ10" s="152">
        <f t="shared" si="17"/>
        <v>2160</v>
      </c>
      <c r="BB10" s="152"/>
      <c r="BC10" s="152"/>
      <c r="BD10" s="152"/>
      <c r="BE10" s="152"/>
      <c r="BF10" s="152"/>
      <c r="BG10" s="152"/>
      <c r="BH10" s="152">
        <v>0</v>
      </c>
      <c r="BI10" s="152">
        <v>1</v>
      </c>
      <c r="BJ10" s="152">
        <v>3</v>
      </c>
      <c r="BK10" s="152">
        <f t="shared" si="18"/>
        <v>3</v>
      </c>
      <c r="BM10" s="167">
        <f t="shared" si="19"/>
        <v>0</v>
      </c>
      <c r="BN10" s="152">
        <f t="shared" si="19"/>
        <v>0</v>
      </c>
      <c r="BO10" s="152">
        <f t="shared" si="19"/>
        <v>0</v>
      </c>
      <c r="BP10" s="152">
        <f t="shared" si="19"/>
        <v>0</v>
      </c>
      <c r="BQ10" s="152">
        <f t="shared" si="19"/>
        <v>0</v>
      </c>
      <c r="BR10" s="152">
        <f t="shared" si="19"/>
        <v>0</v>
      </c>
      <c r="BS10" s="152">
        <f t="shared" si="19"/>
        <v>0</v>
      </c>
      <c r="BT10" s="152">
        <f t="shared" si="19"/>
        <v>0</v>
      </c>
      <c r="BU10" s="152">
        <f t="shared" si="19"/>
        <v>0</v>
      </c>
      <c r="BV10" s="152">
        <f t="shared" si="19"/>
        <v>0</v>
      </c>
      <c r="BX10" s="160"/>
      <c r="BY10" s="159"/>
      <c r="BZ10" s="159"/>
      <c r="CA10" s="159"/>
      <c r="CB10" s="159"/>
      <c r="CC10" s="159"/>
      <c r="CD10" s="159">
        <v>2.4864843750000003</v>
      </c>
      <c r="CE10" s="159">
        <v>2.5610789062500001</v>
      </c>
      <c r="CF10" s="159">
        <f t="shared" si="30"/>
        <v>2.6379112734375001</v>
      </c>
      <c r="CG10" s="159">
        <f t="shared" si="20"/>
        <v>2.7170486116406249</v>
      </c>
      <c r="CI10" s="128">
        <f t="shared" si="21"/>
        <v>0</v>
      </c>
      <c r="CJ10" s="128">
        <f t="shared" si="21"/>
        <v>0</v>
      </c>
      <c r="CK10" s="161">
        <f t="shared" si="21"/>
        <v>0</v>
      </c>
      <c r="CL10" s="161">
        <f t="shared" si="21"/>
        <v>0</v>
      </c>
      <c r="CM10" s="161">
        <f t="shared" si="21"/>
        <v>0</v>
      </c>
      <c r="CN10" s="278">
        <f t="shared" si="21"/>
        <v>0</v>
      </c>
      <c r="CO10" s="278">
        <f t="shared" si="21"/>
        <v>0</v>
      </c>
      <c r="CP10" s="278">
        <f t="shared" si="21"/>
        <v>0</v>
      </c>
      <c r="CQ10" s="278">
        <f t="shared" si="21"/>
        <v>0</v>
      </c>
      <c r="CR10" s="278">
        <f t="shared" si="21"/>
        <v>0</v>
      </c>
      <c r="CT10" s="168">
        <v>0.3</v>
      </c>
      <c r="CU10" s="168">
        <v>0.3</v>
      </c>
      <c r="CV10" s="168">
        <v>0.3</v>
      </c>
      <c r="CW10" s="168">
        <v>0.3</v>
      </c>
      <c r="CX10" s="168">
        <v>0.3</v>
      </c>
      <c r="CY10" s="168">
        <v>0.3</v>
      </c>
      <c r="CZ10" s="168">
        <v>0.3</v>
      </c>
      <c r="DA10" s="168">
        <v>0.3</v>
      </c>
      <c r="DB10" s="168">
        <v>0.3</v>
      </c>
      <c r="DC10" s="168">
        <v>0.3</v>
      </c>
      <c r="DE10" s="20">
        <f t="shared" si="22"/>
        <v>0</v>
      </c>
      <c r="DF10" s="128">
        <f t="shared" si="22"/>
        <v>0</v>
      </c>
      <c r="DG10" s="20">
        <f t="shared" si="22"/>
        <v>0</v>
      </c>
      <c r="DH10" s="20">
        <f t="shared" si="22"/>
        <v>0</v>
      </c>
      <c r="DI10" s="20">
        <f t="shared" si="22"/>
        <v>0</v>
      </c>
      <c r="DJ10" s="20">
        <f t="shared" si="22"/>
        <v>0</v>
      </c>
      <c r="DK10" s="20">
        <f t="shared" si="22"/>
        <v>0</v>
      </c>
      <c r="DL10" s="20">
        <f t="shared" si="22"/>
        <v>0</v>
      </c>
      <c r="DM10" s="20">
        <f t="shared" si="22"/>
        <v>0</v>
      </c>
      <c r="DN10" s="20">
        <f t="shared" si="22"/>
        <v>0</v>
      </c>
      <c r="DP10" s="20"/>
      <c r="DQ10" s="20"/>
      <c r="DR10" s="20"/>
      <c r="DS10" s="20"/>
      <c r="DT10" s="20"/>
      <c r="DU10" s="20"/>
      <c r="DV10" s="20"/>
      <c r="DW10" s="20"/>
      <c r="DX10" s="20"/>
      <c r="DY10" s="20"/>
      <c r="EA10" s="20">
        <f t="shared" si="23"/>
        <v>0</v>
      </c>
      <c r="EB10" s="20">
        <f t="shared" si="23"/>
        <v>0</v>
      </c>
      <c r="EC10" s="20">
        <f t="shared" si="23"/>
        <v>0</v>
      </c>
      <c r="ED10" s="20">
        <f t="shared" si="23"/>
        <v>0</v>
      </c>
      <c r="EE10" s="20">
        <f t="shared" si="23"/>
        <v>0</v>
      </c>
      <c r="EF10" s="20">
        <f t="shared" si="23"/>
        <v>0</v>
      </c>
      <c r="EG10" s="20">
        <f t="shared" si="23"/>
        <v>0</v>
      </c>
      <c r="EH10" s="20">
        <f t="shared" si="23"/>
        <v>0</v>
      </c>
      <c r="EI10" s="20">
        <f t="shared" si="23"/>
        <v>0</v>
      </c>
      <c r="EJ10" s="20">
        <f t="shared" si="23"/>
        <v>0</v>
      </c>
      <c r="EK10" s="8">
        <f t="shared" si="23"/>
        <v>0</v>
      </c>
      <c r="EL10" s="152">
        <f t="shared" si="24"/>
        <v>0</v>
      </c>
      <c r="EM10" s="152">
        <f t="shared" si="24"/>
        <v>0</v>
      </c>
      <c r="EN10" s="152">
        <f t="shared" si="24"/>
        <v>0</v>
      </c>
      <c r="EO10" s="152">
        <f t="shared" si="24"/>
        <v>0</v>
      </c>
      <c r="EP10" s="152">
        <f t="shared" si="24"/>
        <v>0</v>
      </c>
      <c r="EQ10" s="152">
        <f t="shared" si="24"/>
        <v>0</v>
      </c>
      <c r="ER10" s="152">
        <f t="shared" si="24"/>
        <v>0</v>
      </c>
      <c r="ES10" s="152">
        <f t="shared" si="24"/>
        <v>0</v>
      </c>
      <c r="ET10" s="152">
        <f t="shared" si="24"/>
        <v>0</v>
      </c>
      <c r="EU10" s="8">
        <f t="shared" si="25"/>
        <v>0</v>
      </c>
      <c r="EV10" s="154">
        <f t="shared" si="26"/>
        <v>0</v>
      </c>
      <c r="EW10" s="154">
        <f t="shared" si="26"/>
        <v>0</v>
      </c>
      <c r="EX10" s="154">
        <f t="shared" si="26"/>
        <v>0</v>
      </c>
      <c r="EY10" s="154">
        <f t="shared" si="26"/>
        <v>0</v>
      </c>
      <c r="EZ10" s="154">
        <f t="shared" si="26"/>
        <v>0</v>
      </c>
      <c r="FA10" s="154">
        <f t="shared" si="26"/>
        <v>0</v>
      </c>
      <c r="FB10" s="154">
        <f t="shared" si="26"/>
        <v>0</v>
      </c>
      <c r="FC10" s="154">
        <f t="shared" si="26"/>
        <v>0</v>
      </c>
      <c r="FD10" s="154">
        <f t="shared" si="26"/>
        <v>0</v>
      </c>
      <c r="FF10" s="154"/>
      <c r="FG10" s="154"/>
      <c r="FH10" s="127"/>
      <c r="FI10" s="127"/>
      <c r="FJ10" s="127"/>
      <c r="FK10" s="127"/>
      <c r="FL10" s="127">
        <f t="shared" ref="FL10:FL23" si="32">FL9</f>
        <v>0.15000000000000002</v>
      </c>
      <c r="FM10" s="127">
        <f t="shared" si="31"/>
        <v>0.22999999999999995</v>
      </c>
      <c r="FN10" s="127">
        <f t="shared" si="31"/>
        <v>0.23854773928283424</v>
      </c>
      <c r="FO10" s="127">
        <f t="shared" si="31"/>
        <v>0.23847945412961566</v>
      </c>
      <c r="FQ10" s="20">
        <f t="shared" si="27"/>
        <v>0</v>
      </c>
      <c r="FR10" s="20">
        <f t="shared" si="27"/>
        <v>0</v>
      </c>
      <c r="FS10" s="128">
        <f t="shared" si="27"/>
        <v>0</v>
      </c>
      <c r="FT10" s="128">
        <f t="shared" si="27"/>
        <v>0</v>
      </c>
      <c r="FU10" s="128">
        <f t="shared" si="27"/>
        <v>0</v>
      </c>
      <c r="FV10" s="128">
        <f t="shared" si="27"/>
        <v>0</v>
      </c>
      <c r="FW10" s="128">
        <f t="shared" si="27"/>
        <v>0</v>
      </c>
      <c r="FX10" s="128">
        <f t="shared" si="27"/>
        <v>0</v>
      </c>
      <c r="FY10" s="128">
        <f t="shared" si="27"/>
        <v>0</v>
      </c>
      <c r="FZ10" s="128">
        <f t="shared" si="27"/>
        <v>0</v>
      </c>
      <c r="GA10" s="8">
        <f t="shared" si="28"/>
        <v>0</v>
      </c>
    </row>
    <row r="11" spans="1:183" ht="13.5">
      <c r="B11" s="19" t="s">
        <v>175</v>
      </c>
      <c r="C11" s="124" t="s">
        <v>169</v>
      </c>
      <c r="D11" s="19" t="s">
        <v>170</v>
      </c>
      <c r="E11" s="153">
        <v>0.88</v>
      </c>
      <c r="F11" s="170">
        <v>0.5</v>
      </c>
      <c r="G11" s="151">
        <v>1</v>
      </c>
      <c r="H11" s="19" t="s">
        <v>157</v>
      </c>
      <c r="J11" s="152">
        <v>0</v>
      </c>
      <c r="K11" s="152">
        <v>0</v>
      </c>
      <c r="L11" s="125">
        <v>0</v>
      </c>
      <c r="M11" s="125">
        <v>0</v>
      </c>
      <c r="N11" s="125">
        <v>0</v>
      </c>
      <c r="O11" s="125">
        <v>0</v>
      </c>
      <c r="P11" s="125">
        <v>0</v>
      </c>
      <c r="Q11" s="125">
        <v>0</v>
      </c>
      <c r="R11" s="125">
        <v>0</v>
      </c>
      <c r="S11" s="125">
        <v>0</v>
      </c>
      <c r="U11" s="152"/>
      <c r="V11" s="152"/>
      <c r="W11" s="152"/>
      <c r="X11" s="125"/>
      <c r="Y11" s="125"/>
      <c r="Z11" s="125"/>
      <c r="AA11" s="125"/>
      <c r="AB11" s="125">
        <v>52</v>
      </c>
      <c r="AC11" s="125">
        <v>52</v>
      </c>
      <c r="AD11" s="125">
        <f t="shared" si="29"/>
        <v>52</v>
      </c>
      <c r="AF11" s="165"/>
      <c r="AG11" s="165"/>
      <c r="AH11" s="165"/>
      <c r="AI11" s="165"/>
      <c r="AJ11" s="165"/>
      <c r="AK11" s="165"/>
      <c r="AL11" s="165">
        <v>1</v>
      </c>
      <c r="AM11" s="165">
        <v>1</v>
      </c>
      <c r="AN11" s="165">
        <v>1</v>
      </c>
      <c r="AO11" s="165">
        <f t="shared" si="16"/>
        <v>1</v>
      </c>
      <c r="AQ11" s="152"/>
      <c r="AR11" s="152"/>
      <c r="AS11" s="152"/>
      <c r="AT11" s="152"/>
      <c r="AU11" s="152"/>
      <c r="AV11" s="152"/>
      <c r="AW11" s="152">
        <v>0</v>
      </c>
      <c r="AX11" s="152">
        <v>222.75000000000003</v>
      </c>
      <c r="AY11" s="152">
        <v>324</v>
      </c>
      <c r="AZ11" s="152">
        <f t="shared" si="17"/>
        <v>324</v>
      </c>
      <c r="BB11" s="152"/>
      <c r="BC11" s="152"/>
      <c r="BD11" s="152"/>
      <c r="BE11" s="152"/>
      <c r="BF11" s="152"/>
      <c r="BG11" s="152"/>
      <c r="BH11" s="152">
        <v>0</v>
      </c>
      <c r="BI11" s="152">
        <v>3</v>
      </c>
      <c r="BJ11" s="152">
        <v>6</v>
      </c>
      <c r="BK11" s="152">
        <f t="shared" si="18"/>
        <v>6</v>
      </c>
      <c r="BM11" s="167">
        <f t="shared" si="19"/>
        <v>0</v>
      </c>
      <c r="BN11" s="152">
        <f t="shared" si="19"/>
        <v>0</v>
      </c>
      <c r="BO11" s="152">
        <f t="shared" si="19"/>
        <v>0</v>
      </c>
      <c r="BP11" s="152">
        <f t="shared" si="19"/>
        <v>0</v>
      </c>
      <c r="BQ11" s="152">
        <f t="shared" si="19"/>
        <v>0</v>
      </c>
      <c r="BR11" s="152">
        <f t="shared" si="19"/>
        <v>0</v>
      </c>
      <c r="BS11" s="152">
        <f t="shared" si="19"/>
        <v>0</v>
      </c>
      <c r="BT11" s="152">
        <f t="shared" si="19"/>
        <v>0</v>
      </c>
      <c r="BU11" s="152">
        <f t="shared" si="19"/>
        <v>0</v>
      </c>
      <c r="BV11" s="152">
        <f t="shared" si="19"/>
        <v>0</v>
      </c>
      <c r="BX11" s="160"/>
      <c r="BY11" s="159"/>
      <c r="BZ11" s="159"/>
      <c r="CA11" s="159"/>
      <c r="CB11" s="159"/>
      <c r="CC11" s="159"/>
      <c r="CD11" s="159">
        <v>26.522500000000004</v>
      </c>
      <c r="CE11" s="159">
        <v>27.318175000000007</v>
      </c>
      <c r="CF11" s="159">
        <f t="shared" si="30"/>
        <v>28.137720250000008</v>
      </c>
      <c r="CG11" s="159">
        <f t="shared" si="20"/>
        <v>28.981851857500008</v>
      </c>
      <c r="CI11" s="128">
        <f t="shared" si="21"/>
        <v>0</v>
      </c>
      <c r="CJ11" s="128">
        <f t="shared" si="21"/>
        <v>0</v>
      </c>
      <c r="CK11" s="161">
        <f t="shared" si="21"/>
        <v>0</v>
      </c>
      <c r="CL11" s="161">
        <f t="shared" si="21"/>
        <v>0</v>
      </c>
      <c r="CM11" s="161">
        <f t="shared" si="21"/>
        <v>0</v>
      </c>
      <c r="CN11" s="278">
        <f t="shared" si="21"/>
        <v>0</v>
      </c>
      <c r="CO11" s="278">
        <f t="shared" si="21"/>
        <v>0</v>
      </c>
      <c r="CP11" s="278">
        <f t="shared" si="21"/>
        <v>0</v>
      </c>
      <c r="CQ11" s="278">
        <f t="shared" si="21"/>
        <v>0</v>
      </c>
      <c r="CR11" s="278">
        <f t="shared" si="21"/>
        <v>0</v>
      </c>
      <c r="CT11" s="168">
        <v>0.3</v>
      </c>
      <c r="CU11" s="168">
        <v>0.3</v>
      </c>
      <c r="CV11" s="168">
        <v>0.3</v>
      </c>
      <c r="CW11" s="168">
        <v>0.3</v>
      </c>
      <c r="CX11" s="168">
        <v>0.3</v>
      </c>
      <c r="CY11" s="168">
        <v>0.3</v>
      </c>
      <c r="CZ11" s="168">
        <v>0.3</v>
      </c>
      <c r="DA11" s="168">
        <v>0.3</v>
      </c>
      <c r="DB11" s="168">
        <v>0.3</v>
      </c>
      <c r="DC11" s="168">
        <v>0.3</v>
      </c>
      <c r="DE11" s="20">
        <f t="shared" si="22"/>
        <v>0</v>
      </c>
      <c r="DF11" s="128">
        <f t="shared" si="22"/>
        <v>0</v>
      </c>
      <c r="DG11" s="20">
        <f t="shared" si="22"/>
        <v>0</v>
      </c>
      <c r="DH11" s="20">
        <f t="shared" si="22"/>
        <v>0</v>
      </c>
      <c r="DI11" s="20">
        <f t="shared" si="22"/>
        <v>0</v>
      </c>
      <c r="DJ11" s="20">
        <f t="shared" si="22"/>
        <v>0</v>
      </c>
      <c r="DK11" s="20">
        <f t="shared" si="22"/>
        <v>0</v>
      </c>
      <c r="DL11" s="20">
        <f t="shared" si="22"/>
        <v>0</v>
      </c>
      <c r="DM11" s="20">
        <f t="shared" si="22"/>
        <v>0</v>
      </c>
      <c r="DN11" s="20">
        <f t="shared" si="22"/>
        <v>0</v>
      </c>
      <c r="DP11" s="20"/>
      <c r="DQ11" s="20"/>
      <c r="DR11" s="20"/>
      <c r="DS11" s="20"/>
      <c r="DT11" s="20"/>
      <c r="DU11" s="20"/>
      <c r="DV11" s="20"/>
      <c r="DW11" s="20"/>
      <c r="DX11" s="20"/>
      <c r="DY11" s="20"/>
      <c r="EA11" s="20">
        <f t="shared" si="23"/>
        <v>0</v>
      </c>
      <c r="EB11" s="20">
        <f t="shared" si="23"/>
        <v>0</v>
      </c>
      <c r="EC11" s="20">
        <f t="shared" si="23"/>
        <v>0</v>
      </c>
      <c r="ED11" s="20">
        <f t="shared" si="23"/>
        <v>0</v>
      </c>
      <c r="EE11" s="20">
        <f t="shared" si="23"/>
        <v>0</v>
      </c>
      <c r="EF11" s="20">
        <f t="shared" si="23"/>
        <v>0</v>
      </c>
      <c r="EG11" s="20">
        <f t="shared" si="23"/>
        <v>0</v>
      </c>
      <c r="EH11" s="20">
        <f t="shared" si="23"/>
        <v>0</v>
      </c>
      <c r="EI11" s="20">
        <f t="shared" si="23"/>
        <v>0</v>
      </c>
      <c r="EJ11" s="20">
        <f t="shared" si="23"/>
        <v>0</v>
      </c>
      <c r="EK11" s="8">
        <f t="shared" si="23"/>
        <v>0</v>
      </c>
      <c r="EL11" s="152">
        <f t="shared" si="24"/>
        <v>0</v>
      </c>
      <c r="EM11" s="152">
        <f t="shared" si="24"/>
        <v>0</v>
      </c>
      <c r="EN11" s="152">
        <f t="shared" si="24"/>
        <v>0</v>
      </c>
      <c r="EO11" s="152">
        <f t="shared" si="24"/>
        <v>0</v>
      </c>
      <c r="EP11" s="152">
        <f t="shared" si="24"/>
        <v>0</v>
      </c>
      <c r="EQ11" s="152">
        <f t="shared" si="24"/>
        <v>0</v>
      </c>
      <c r="ER11" s="152">
        <f t="shared" si="24"/>
        <v>0</v>
      </c>
      <c r="ES11" s="152">
        <f t="shared" si="24"/>
        <v>0</v>
      </c>
      <c r="ET11" s="152">
        <f t="shared" si="24"/>
        <v>0</v>
      </c>
      <c r="EU11" s="8">
        <f t="shared" si="25"/>
        <v>0</v>
      </c>
      <c r="EV11" s="154">
        <f t="shared" si="26"/>
        <v>0</v>
      </c>
      <c r="EW11" s="154">
        <f t="shared" si="26"/>
        <v>0</v>
      </c>
      <c r="EX11" s="154">
        <f t="shared" si="26"/>
        <v>0</v>
      </c>
      <c r="EY11" s="154">
        <f t="shared" si="26"/>
        <v>0</v>
      </c>
      <c r="EZ11" s="154">
        <f t="shared" si="26"/>
        <v>0</v>
      </c>
      <c r="FA11" s="154">
        <f t="shared" si="26"/>
        <v>0</v>
      </c>
      <c r="FB11" s="154">
        <f t="shared" si="26"/>
        <v>0</v>
      </c>
      <c r="FC11" s="154">
        <f t="shared" si="26"/>
        <v>0</v>
      </c>
      <c r="FD11" s="154">
        <f t="shared" si="26"/>
        <v>0</v>
      </c>
      <c r="FF11" s="154"/>
      <c r="FG11" s="154"/>
      <c r="FH11" s="127"/>
      <c r="FI11" s="127"/>
      <c r="FJ11" s="127"/>
      <c r="FK11" s="127"/>
      <c r="FL11" s="127">
        <f t="shared" si="32"/>
        <v>0.15000000000000002</v>
      </c>
      <c r="FM11" s="127">
        <f t="shared" si="31"/>
        <v>0.22999999999999995</v>
      </c>
      <c r="FN11" s="127">
        <f t="shared" si="31"/>
        <v>0.23854773928283424</v>
      </c>
      <c r="FO11" s="127">
        <f t="shared" si="31"/>
        <v>0.23847945412961566</v>
      </c>
      <c r="FQ11" s="20">
        <f t="shared" si="27"/>
        <v>0</v>
      </c>
      <c r="FR11" s="20">
        <f t="shared" si="27"/>
        <v>0</v>
      </c>
      <c r="FS11" s="128">
        <f t="shared" si="27"/>
        <v>0</v>
      </c>
      <c r="FT11" s="128">
        <f t="shared" si="27"/>
        <v>0</v>
      </c>
      <c r="FU11" s="128">
        <f t="shared" si="27"/>
        <v>0</v>
      </c>
      <c r="FV11" s="128">
        <f t="shared" si="27"/>
        <v>0</v>
      </c>
      <c r="FW11" s="128">
        <f t="shared" si="27"/>
        <v>0</v>
      </c>
      <c r="FX11" s="128">
        <f t="shared" si="27"/>
        <v>0</v>
      </c>
      <c r="FY11" s="128">
        <f t="shared" si="27"/>
        <v>0</v>
      </c>
      <c r="FZ11" s="128">
        <f t="shared" si="27"/>
        <v>0</v>
      </c>
      <c r="GA11" s="8">
        <f t="shared" si="28"/>
        <v>0</v>
      </c>
    </row>
    <row r="12" spans="1:183" ht="13.5">
      <c r="B12" s="19" t="s">
        <v>175</v>
      </c>
      <c r="C12" s="124" t="s">
        <v>171</v>
      </c>
      <c r="D12" s="19" t="s">
        <v>121</v>
      </c>
      <c r="E12" s="153">
        <v>0.02</v>
      </c>
      <c r="F12" s="170">
        <v>0.25110000000000005</v>
      </c>
      <c r="G12" s="151">
        <v>1</v>
      </c>
      <c r="H12" s="19" t="s">
        <v>176</v>
      </c>
      <c r="J12" s="152">
        <v>0</v>
      </c>
      <c r="K12" s="152">
        <v>0</v>
      </c>
      <c r="L12" s="152">
        <v>0</v>
      </c>
      <c r="M12" s="152">
        <v>0</v>
      </c>
      <c r="N12" s="152">
        <v>0</v>
      </c>
      <c r="O12" s="152">
        <v>0</v>
      </c>
      <c r="P12" s="152">
        <v>0</v>
      </c>
      <c r="Q12" s="152">
        <v>0</v>
      </c>
      <c r="R12" s="152">
        <v>0</v>
      </c>
      <c r="S12" s="152">
        <v>0</v>
      </c>
      <c r="U12" s="125"/>
      <c r="V12" s="125"/>
      <c r="W12" s="125"/>
      <c r="X12" s="125"/>
      <c r="Y12" s="125"/>
      <c r="Z12" s="125"/>
      <c r="AA12" s="125"/>
      <c r="AB12" s="125">
        <v>26</v>
      </c>
      <c r="AC12" s="125">
        <v>52</v>
      </c>
      <c r="AD12" s="125">
        <f t="shared" si="29"/>
        <v>52</v>
      </c>
      <c r="AF12" s="165"/>
      <c r="AG12" s="165"/>
      <c r="AH12" s="165"/>
      <c r="AI12" s="165"/>
      <c r="AJ12" s="165"/>
      <c r="AK12" s="165"/>
      <c r="AL12" s="165">
        <v>0.75</v>
      </c>
      <c r="AM12" s="165">
        <v>0.75</v>
      </c>
      <c r="AN12" s="165">
        <v>0.75</v>
      </c>
      <c r="AO12" s="165">
        <f t="shared" si="16"/>
        <v>0.75</v>
      </c>
      <c r="AQ12" s="152"/>
      <c r="AR12" s="152"/>
      <c r="AS12" s="152"/>
      <c r="AT12" s="152"/>
      <c r="AU12" s="152"/>
      <c r="AV12" s="152"/>
      <c r="AW12" s="152">
        <v>0</v>
      </c>
      <c r="AX12" s="152">
        <v>2100</v>
      </c>
      <c r="AY12" s="152">
        <v>2450</v>
      </c>
      <c r="AZ12" s="152">
        <f t="shared" si="17"/>
        <v>2450</v>
      </c>
      <c r="BB12" s="152"/>
      <c r="BC12" s="152"/>
      <c r="BD12" s="152"/>
      <c r="BE12" s="152"/>
      <c r="BF12" s="152"/>
      <c r="BG12" s="152"/>
      <c r="BH12" s="152">
        <v>0</v>
      </c>
      <c r="BI12" s="152">
        <v>6</v>
      </c>
      <c r="BJ12" s="152">
        <v>10</v>
      </c>
      <c r="BK12" s="152">
        <f t="shared" si="18"/>
        <v>10</v>
      </c>
      <c r="BM12" s="125">
        <f t="shared" si="19"/>
        <v>0</v>
      </c>
      <c r="BN12" s="125">
        <f t="shared" si="19"/>
        <v>0</v>
      </c>
      <c r="BO12" s="125">
        <f t="shared" si="19"/>
        <v>0</v>
      </c>
      <c r="BP12" s="125">
        <f t="shared" si="19"/>
        <v>0</v>
      </c>
      <c r="BQ12" s="125">
        <f t="shared" si="19"/>
        <v>0</v>
      </c>
      <c r="BR12" s="125">
        <f t="shared" si="19"/>
        <v>0</v>
      </c>
      <c r="BS12" s="125">
        <f t="shared" si="19"/>
        <v>0</v>
      </c>
      <c r="BT12" s="125">
        <f t="shared" si="19"/>
        <v>0</v>
      </c>
      <c r="BU12" s="125">
        <f t="shared" si="19"/>
        <v>0</v>
      </c>
      <c r="BV12" s="125">
        <f t="shared" si="19"/>
        <v>0</v>
      </c>
      <c r="BX12" s="160"/>
      <c r="BY12" s="160"/>
      <c r="BZ12" s="160"/>
      <c r="CA12" s="160"/>
      <c r="CB12" s="160"/>
      <c r="CC12" s="160"/>
      <c r="CD12" s="160">
        <v>3.1607705604600005</v>
      </c>
      <c r="CE12" s="160">
        <v>3.2555936772738008</v>
      </c>
      <c r="CF12" s="160">
        <f t="shared" si="30"/>
        <v>3.353261487592015</v>
      </c>
      <c r="CG12" s="160">
        <f t="shared" si="20"/>
        <v>3.4538593322197757</v>
      </c>
      <c r="CI12" s="128">
        <f t="shared" si="21"/>
        <v>0</v>
      </c>
      <c r="CJ12" s="128">
        <f t="shared" si="21"/>
        <v>0</v>
      </c>
      <c r="CK12" s="161">
        <f t="shared" si="21"/>
        <v>0</v>
      </c>
      <c r="CL12" s="161">
        <f t="shared" si="21"/>
        <v>0</v>
      </c>
      <c r="CM12" s="161">
        <f t="shared" si="21"/>
        <v>0</v>
      </c>
      <c r="CN12" s="278">
        <f t="shared" si="21"/>
        <v>0</v>
      </c>
      <c r="CO12" s="278">
        <f t="shared" si="21"/>
        <v>0</v>
      </c>
      <c r="CP12" s="278">
        <f t="shared" si="21"/>
        <v>0</v>
      </c>
      <c r="CQ12" s="278">
        <f t="shared" si="21"/>
        <v>0</v>
      </c>
      <c r="CR12" s="278">
        <f t="shared" si="21"/>
        <v>0</v>
      </c>
      <c r="CT12" s="25">
        <v>0.3</v>
      </c>
      <c r="CU12" s="168">
        <v>0.3</v>
      </c>
      <c r="CV12" s="168">
        <v>0.3</v>
      </c>
      <c r="CW12" s="168">
        <v>0.3</v>
      </c>
      <c r="CX12" s="168">
        <v>0.3</v>
      </c>
      <c r="CY12" s="168">
        <v>0.3</v>
      </c>
      <c r="CZ12" s="168">
        <v>0.3</v>
      </c>
      <c r="DA12" s="168">
        <v>0.3</v>
      </c>
      <c r="DB12" s="168">
        <v>0.3</v>
      </c>
      <c r="DC12" s="168">
        <v>0.3</v>
      </c>
      <c r="DE12" s="20">
        <f t="shared" si="22"/>
        <v>0</v>
      </c>
      <c r="DF12" s="128">
        <f t="shared" si="22"/>
        <v>0</v>
      </c>
      <c r="DG12" s="20">
        <f t="shared" si="22"/>
        <v>0</v>
      </c>
      <c r="DH12" s="20">
        <f t="shared" si="22"/>
        <v>0</v>
      </c>
      <c r="DI12" s="20">
        <f t="shared" si="22"/>
        <v>0</v>
      </c>
      <c r="DJ12" s="20">
        <f t="shared" si="22"/>
        <v>0</v>
      </c>
      <c r="DK12" s="20">
        <f t="shared" si="22"/>
        <v>0</v>
      </c>
      <c r="DL12" s="20">
        <f t="shared" si="22"/>
        <v>0</v>
      </c>
      <c r="DM12" s="20">
        <f t="shared" si="22"/>
        <v>0</v>
      </c>
      <c r="DN12" s="20">
        <f t="shared" si="22"/>
        <v>0</v>
      </c>
      <c r="DP12" s="20"/>
      <c r="DQ12" s="20"/>
      <c r="DR12" s="20"/>
      <c r="DS12" s="20"/>
      <c r="DT12" s="20"/>
      <c r="DU12" s="20"/>
      <c r="DV12" s="20"/>
      <c r="DW12" s="20"/>
      <c r="DX12" s="20"/>
      <c r="DY12" s="20"/>
      <c r="EA12" s="20">
        <f t="shared" si="23"/>
        <v>0</v>
      </c>
      <c r="EB12" s="20">
        <f t="shared" si="23"/>
        <v>0</v>
      </c>
      <c r="EC12" s="20">
        <f t="shared" si="23"/>
        <v>0</v>
      </c>
      <c r="ED12" s="20">
        <f t="shared" si="23"/>
        <v>0</v>
      </c>
      <c r="EE12" s="20">
        <f t="shared" si="23"/>
        <v>0</v>
      </c>
      <c r="EF12" s="20">
        <f t="shared" si="23"/>
        <v>0</v>
      </c>
      <c r="EG12" s="20">
        <f t="shared" si="23"/>
        <v>0</v>
      </c>
      <c r="EH12" s="20">
        <f t="shared" si="23"/>
        <v>0</v>
      </c>
      <c r="EI12" s="20">
        <f t="shared" si="23"/>
        <v>0</v>
      </c>
      <c r="EJ12" s="20">
        <f t="shared" si="23"/>
        <v>0</v>
      </c>
      <c r="EK12" s="8">
        <f t="shared" si="23"/>
        <v>0</v>
      </c>
      <c r="EL12" s="152">
        <f t="shared" si="24"/>
        <v>0</v>
      </c>
      <c r="EM12" s="152">
        <f t="shared" si="24"/>
        <v>0</v>
      </c>
      <c r="EN12" s="152">
        <f t="shared" si="24"/>
        <v>0</v>
      </c>
      <c r="EO12" s="152">
        <f t="shared" si="24"/>
        <v>0</v>
      </c>
      <c r="EP12" s="152">
        <f t="shared" si="24"/>
        <v>0</v>
      </c>
      <c r="EQ12" s="152">
        <f t="shared" si="24"/>
        <v>0</v>
      </c>
      <c r="ER12" s="152">
        <f t="shared" si="24"/>
        <v>0</v>
      </c>
      <c r="ES12" s="152">
        <f t="shared" si="24"/>
        <v>0</v>
      </c>
      <c r="ET12" s="152">
        <f t="shared" si="24"/>
        <v>0</v>
      </c>
      <c r="EU12" s="8">
        <f t="shared" si="25"/>
        <v>0</v>
      </c>
      <c r="EV12" s="154">
        <f t="shared" si="26"/>
        <v>0</v>
      </c>
      <c r="EW12" s="154">
        <f t="shared" si="26"/>
        <v>0</v>
      </c>
      <c r="EX12" s="154">
        <f t="shared" si="26"/>
        <v>0</v>
      </c>
      <c r="EY12" s="154">
        <f t="shared" si="26"/>
        <v>0</v>
      </c>
      <c r="EZ12" s="154">
        <f t="shared" si="26"/>
        <v>0</v>
      </c>
      <c r="FA12" s="154">
        <f t="shared" si="26"/>
        <v>0</v>
      </c>
      <c r="FB12" s="154">
        <f t="shared" si="26"/>
        <v>0</v>
      </c>
      <c r="FC12" s="154">
        <f t="shared" si="26"/>
        <v>0</v>
      </c>
      <c r="FD12" s="154">
        <f t="shared" si="26"/>
        <v>0</v>
      </c>
      <c r="FF12" s="154"/>
      <c r="FG12" s="154"/>
      <c r="FH12" s="127"/>
      <c r="FI12" s="127"/>
      <c r="FJ12" s="127"/>
      <c r="FK12" s="127"/>
      <c r="FL12" s="127">
        <f t="shared" si="32"/>
        <v>0.15000000000000002</v>
      </c>
      <c r="FM12" s="127">
        <f t="shared" si="31"/>
        <v>0.22999999999999995</v>
      </c>
      <c r="FN12" s="127">
        <f t="shared" si="31"/>
        <v>0.23854773928283424</v>
      </c>
      <c r="FO12" s="127">
        <f t="shared" si="31"/>
        <v>0.23847945412961566</v>
      </c>
      <c r="FQ12" s="20">
        <f t="shared" si="27"/>
        <v>0</v>
      </c>
      <c r="FR12" s="20">
        <f t="shared" si="27"/>
        <v>0</v>
      </c>
      <c r="FS12" s="128">
        <f t="shared" si="27"/>
        <v>0</v>
      </c>
      <c r="FT12" s="128">
        <f t="shared" si="27"/>
        <v>0</v>
      </c>
      <c r="FU12" s="128">
        <f t="shared" si="27"/>
        <v>0</v>
      </c>
      <c r="FV12" s="128">
        <f t="shared" si="27"/>
        <v>0</v>
      </c>
      <c r="FW12" s="128">
        <f t="shared" si="27"/>
        <v>0</v>
      </c>
      <c r="FX12" s="128">
        <f t="shared" si="27"/>
        <v>0</v>
      </c>
      <c r="FY12" s="128">
        <f t="shared" si="27"/>
        <v>0</v>
      </c>
      <c r="FZ12" s="128">
        <f t="shared" si="27"/>
        <v>0</v>
      </c>
      <c r="GA12" s="8">
        <f t="shared" si="28"/>
        <v>0</v>
      </c>
    </row>
    <row r="13" spans="1:183" ht="13.5">
      <c r="B13" s="19" t="s">
        <v>175</v>
      </c>
      <c r="C13" s="124" t="s">
        <v>171</v>
      </c>
      <c r="D13" s="19" t="s">
        <v>129</v>
      </c>
      <c r="E13" s="153">
        <v>0.02</v>
      </c>
      <c r="F13" s="170">
        <v>1</v>
      </c>
      <c r="G13" s="151">
        <v>1</v>
      </c>
      <c r="H13" s="19" t="s">
        <v>177</v>
      </c>
      <c r="J13" s="152">
        <v>0</v>
      </c>
      <c r="K13" s="152">
        <v>0</v>
      </c>
      <c r="L13" s="152">
        <v>0</v>
      </c>
      <c r="M13" s="152">
        <v>0</v>
      </c>
      <c r="N13" s="152">
        <v>0</v>
      </c>
      <c r="O13" s="152">
        <v>0</v>
      </c>
      <c r="P13" s="152">
        <v>0</v>
      </c>
      <c r="Q13" s="152">
        <v>0</v>
      </c>
      <c r="R13" s="152">
        <v>0</v>
      </c>
      <c r="S13" s="152">
        <v>0</v>
      </c>
      <c r="U13" s="125"/>
      <c r="V13" s="125"/>
      <c r="W13" s="125"/>
      <c r="X13" s="125"/>
      <c r="Y13" s="125"/>
      <c r="Z13" s="125"/>
      <c r="AA13" s="125"/>
      <c r="AB13" s="125">
        <v>13</v>
      </c>
      <c r="AC13" s="125">
        <v>52</v>
      </c>
      <c r="AD13" s="125">
        <f t="shared" si="29"/>
        <v>52</v>
      </c>
      <c r="AF13" s="165"/>
      <c r="AG13" s="165"/>
      <c r="AH13" s="165"/>
      <c r="AI13" s="165"/>
      <c r="AJ13" s="165"/>
      <c r="AK13" s="165"/>
      <c r="AL13" s="165">
        <v>0.9</v>
      </c>
      <c r="AM13" s="165">
        <v>0.9</v>
      </c>
      <c r="AN13" s="165">
        <v>0.9</v>
      </c>
      <c r="AO13" s="165">
        <f t="shared" si="16"/>
        <v>0.9</v>
      </c>
      <c r="AQ13" s="152"/>
      <c r="AR13" s="152"/>
      <c r="AS13" s="152"/>
      <c r="AT13" s="152"/>
      <c r="AU13" s="152"/>
      <c r="AV13" s="152"/>
      <c r="AW13" s="152">
        <v>0</v>
      </c>
      <c r="AX13" s="152">
        <v>2100</v>
      </c>
      <c r="AY13" s="152">
        <v>2450</v>
      </c>
      <c r="AZ13" s="152">
        <f t="shared" si="17"/>
        <v>2450</v>
      </c>
      <c r="BB13" s="152"/>
      <c r="BC13" s="152"/>
      <c r="BD13" s="152"/>
      <c r="BE13" s="152"/>
      <c r="BF13" s="152"/>
      <c r="BG13" s="152"/>
      <c r="BH13" s="152">
        <v>0</v>
      </c>
      <c r="BI13" s="152">
        <v>1</v>
      </c>
      <c r="BJ13" s="152">
        <v>3</v>
      </c>
      <c r="BK13" s="152">
        <f t="shared" si="18"/>
        <v>3</v>
      </c>
      <c r="BM13" s="125">
        <f t="shared" si="19"/>
        <v>0</v>
      </c>
      <c r="BN13" s="125">
        <f t="shared" si="19"/>
        <v>0</v>
      </c>
      <c r="BO13" s="125">
        <f t="shared" si="19"/>
        <v>0</v>
      </c>
      <c r="BP13" s="125">
        <f t="shared" si="19"/>
        <v>0</v>
      </c>
      <c r="BQ13" s="125">
        <f t="shared" si="19"/>
        <v>0</v>
      </c>
      <c r="BR13" s="125">
        <f t="shared" si="19"/>
        <v>0</v>
      </c>
      <c r="BS13" s="125">
        <f t="shared" si="19"/>
        <v>0</v>
      </c>
      <c r="BT13" s="125">
        <f t="shared" si="19"/>
        <v>0</v>
      </c>
      <c r="BU13" s="125">
        <f t="shared" si="19"/>
        <v>0</v>
      </c>
      <c r="BV13" s="125">
        <f t="shared" si="19"/>
        <v>0</v>
      </c>
      <c r="BX13" s="160"/>
      <c r="BY13" s="159"/>
      <c r="BZ13" s="159"/>
      <c r="CA13" s="159"/>
      <c r="CB13" s="159"/>
      <c r="CC13" s="159"/>
      <c r="CD13" s="159">
        <v>1.9002628619999999</v>
      </c>
      <c r="CE13" s="159">
        <v>1.95727074786</v>
      </c>
      <c r="CF13" s="159">
        <f t="shared" si="30"/>
        <v>2.0159888702958</v>
      </c>
      <c r="CG13" s="159">
        <f t="shared" si="20"/>
        <v>2.0764685364046742</v>
      </c>
      <c r="CI13" s="128">
        <f t="shared" si="21"/>
        <v>0</v>
      </c>
      <c r="CJ13" s="128">
        <f t="shared" si="21"/>
        <v>0</v>
      </c>
      <c r="CK13" s="161">
        <f t="shared" si="21"/>
        <v>0</v>
      </c>
      <c r="CL13" s="161">
        <f t="shared" si="21"/>
        <v>0</v>
      </c>
      <c r="CM13" s="161">
        <f t="shared" si="21"/>
        <v>0</v>
      </c>
      <c r="CN13" s="278">
        <f t="shared" si="21"/>
        <v>0</v>
      </c>
      <c r="CO13" s="278">
        <f t="shared" si="21"/>
        <v>0</v>
      </c>
      <c r="CP13" s="278">
        <f t="shared" si="21"/>
        <v>0</v>
      </c>
      <c r="CQ13" s="278">
        <f t="shared" si="21"/>
        <v>0</v>
      </c>
      <c r="CR13" s="278">
        <f t="shared" si="21"/>
        <v>0</v>
      </c>
      <c r="CT13" s="25">
        <v>0.3</v>
      </c>
      <c r="CU13" s="168">
        <v>0.3</v>
      </c>
      <c r="CV13" s="168">
        <v>0.3</v>
      </c>
      <c r="CW13" s="168">
        <v>0.3</v>
      </c>
      <c r="CX13" s="168">
        <v>0.3</v>
      </c>
      <c r="CY13" s="168">
        <v>0.3</v>
      </c>
      <c r="CZ13" s="168">
        <v>0.3</v>
      </c>
      <c r="DA13" s="168">
        <v>0.3</v>
      </c>
      <c r="DB13" s="168">
        <v>0.3</v>
      </c>
      <c r="DC13" s="168">
        <v>0.3</v>
      </c>
      <c r="DE13" s="20">
        <f t="shared" si="22"/>
        <v>0</v>
      </c>
      <c r="DF13" s="128">
        <f t="shared" si="22"/>
        <v>0</v>
      </c>
      <c r="DG13" s="20">
        <f t="shared" si="22"/>
        <v>0</v>
      </c>
      <c r="DH13" s="20">
        <f t="shared" si="22"/>
        <v>0</v>
      </c>
      <c r="DI13" s="20">
        <f t="shared" si="22"/>
        <v>0</v>
      </c>
      <c r="DJ13" s="20">
        <f t="shared" si="22"/>
        <v>0</v>
      </c>
      <c r="DK13" s="20">
        <f t="shared" si="22"/>
        <v>0</v>
      </c>
      <c r="DL13" s="20">
        <f t="shared" si="22"/>
        <v>0</v>
      </c>
      <c r="DM13" s="20">
        <f t="shared" si="22"/>
        <v>0</v>
      </c>
      <c r="DN13" s="20">
        <f t="shared" si="22"/>
        <v>0</v>
      </c>
      <c r="DP13" s="20"/>
      <c r="DQ13" s="20"/>
      <c r="DR13" s="20"/>
      <c r="DS13" s="20"/>
      <c r="DT13" s="20"/>
      <c r="DU13" s="20"/>
      <c r="DV13" s="20"/>
      <c r="DW13" s="20"/>
      <c r="DX13" s="20"/>
      <c r="DY13" s="20"/>
      <c r="EA13" s="20">
        <f t="shared" si="23"/>
        <v>0</v>
      </c>
      <c r="EB13" s="20">
        <f t="shared" si="23"/>
        <v>0</v>
      </c>
      <c r="EC13" s="20">
        <f t="shared" si="23"/>
        <v>0</v>
      </c>
      <c r="ED13" s="20">
        <f t="shared" si="23"/>
        <v>0</v>
      </c>
      <c r="EE13" s="20">
        <f t="shared" si="23"/>
        <v>0</v>
      </c>
      <c r="EF13" s="20">
        <f t="shared" si="23"/>
        <v>0</v>
      </c>
      <c r="EG13" s="20">
        <f t="shared" si="23"/>
        <v>0</v>
      </c>
      <c r="EH13" s="20">
        <f t="shared" si="23"/>
        <v>0</v>
      </c>
      <c r="EI13" s="20">
        <f t="shared" si="23"/>
        <v>0</v>
      </c>
      <c r="EJ13" s="20">
        <f t="shared" si="23"/>
        <v>0</v>
      </c>
      <c r="EK13" s="8">
        <f t="shared" si="23"/>
        <v>0</v>
      </c>
      <c r="EL13" s="152">
        <f t="shared" si="24"/>
        <v>0</v>
      </c>
      <c r="EM13" s="152">
        <f t="shared" si="24"/>
        <v>0</v>
      </c>
      <c r="EN13" s="152">
        <f t="shared" si="24"/>
        <v>0</v>
      </c>
      <c r="EO13" s="152">
        <f t="shared" si="24"/>
        <v>0</v>
      </c>
      <c r="EP13" s="152">
        <f t="shared" si="24"/>
        <v>0</v>
      </c>
      <c r="EQ13" s="152">
        <f t="shared" si="24"/>
        <v>0</v>
      </c>
      <c r="ER13" s="152">
        <f t="shared" si="24"/>
        <v>0</v>
      </c>
      <c r="ES13" s="152">
        <f t="shared" si="24"/>
        <v>0</v>
      </c>
      <c r="ET13" s="152">
        <f t="shared" si="24"/>
        <v>0</v>
      </c>
      <c r="EU13" s="8">
        <f t="shared" si="25"/>
        <v>0</v>
      </c>
      <c r="EV13" s="154">
        <f t="shared" si="26"/>
        <v>0</v>
      </c>
      <c r="EW13" s="154">
        <f t="shared" si="26"/>
        <v>0</v>
      </c>
      <c r="EX13" s="154">
        <f t="shared" si="26"/>
        <v>0</v>
      </c>
      <c r="EY13" s="154">
        <f t="shared" si="26"/>
        <v>0</v>
      </c>
      <c r="EZ13" s="154">
        <f t="shared" si="26"/>
        <v>0</v>
      </c>
      <c r="FA13" s="154">
        <f t="shared" si="26"/>
        <v>0</v>
      </c>
      <c r="FB13" s="154">
        <f t="shared" si="26"/>
        <v>0</v>
      </c>
      <c r="FC13" s="154">
        <f t="shared" si="26"/>
        <v>0</v>
      </c>
      <c r="FD13" s="154">
        <f t="shared" si="26"/>
        <v>0</v>
      </c>
      <c r="FF13" s="154"/>
      <c r="FG13" s="154"/>
      <c r="FH13" s="127"/>
      <c r="FI13" s="127"/>
      <c r="FJ13" s="127"/>
      <c r="FK13" s="127"/>
      <c r="FL13" s="127">
        <f t="shared" si="32"/>
        <v>0.15000000000000002</v>
      </c>
      <c r="FM13" s="127">
        <f t="shared" si="31"/>
        <v>0.22999999999999995</v>
      </c>
      <c r="FN13" s="127">
        <f t="shared" si="31"/>
        <v>0.23854773928283424</v>
      </c>
      <c r="FO13" s="127">
        <f t="shared" si="31"/>
        <v>0.23847945412961566</v>
      </c>
      <c r="FQ13" s="20">
        <f t="shared" si="27"/>
        <v>0</v>
      </c>
      <c r="FR13" s="20">
        <f t="shared" si="27"/>
        <v>0</v>
      </c>
      <c r="FS13" s="128">
        <f t="shared" si="27"/>
        <v>0</v>
      </c>
      <c r="FT13" s="128">
        <f t="shared" si="27"/>
        <v>0</v>
      </c>
      <c r="FU13" s="128">
        <f t="shared" si="27"/>
        <v>0</v>
      </c>
      <c r="FV13" s="128">
        <f t="shared" si="27"/>
        <v>0</v>
      </c>
      <c r="FW13" s="128">
        <f t="shared" si="27"/>
        <v>0</v>
      </c>
      <c r="FX13" s="128">
        <f t="shared" si="27"/>
        <v>0</v>
      </c>
      <c r="FY13" s="128">
        <f t="shared" si="27"/>
        <v>0</v>
      </c>
      <c r="FZ13" s="128">
        <f t="shared" si="27"/>
        <v>0</v>
      </c>
      <c r="GA13" s="8">
        <f t="shared" si="28"/>
        <v>0</v>
      </c>
    </row>
    <row r="14" spans="1:183" ht="13.5">
      <c r="B14" s="19" t="s">
        <v>175</v>
      </c>
      <c r="C14" s="124" t="s">
        <v>171</v>
      </c>
      <c r="D14" s="19" t="s">
        <v>167</v>
      </c>
      <c r="E14" s="153">
        <v>0.02</v>
      </c>
      <c r="F14" s="170">
        <v>0.5</v>
      </c>
      <c r="G14" s="151">
        <v>1</v>
      </c>
      <c r="H14" s="19" t="s">
        <v>157</v>
      </c>
      <c r="J14" s="152">
        <v>0</v>
      </c>
      <c r="K14" s="152">
        <v>0</v>
      </c>
      <c r="L14" s="152">
        <v>0</v>
      </c>
      <c r="M14" s="152">
        <v>0</v>
      </c>
      <c r="N14" s="152">
        <v>0</v>
      </c>
      <c r="O14" s="152">
        <v>0</v>
      </c>
      <c r="P14" s="152">
        <v>0</v>
      </c>
      <c r="Q14" s="152">
        <v>0</v>
      </c>
      <c r="R14" s="152">
        <v>0</v>
      </c>
      <c r="S14" s="152">
        <v>0</v>
      </c>
      <c r="U14" s="152"/>
      <c r="V14" s="152"/>
      <c r="W14" s="152"/>
      <c r="X14" s="125"/>
      <c r="Y14" s="125"/>
      <c r="Z14" s="125"/>
      <c r="AA14" s="125"/>
      <c r="AB14" s="125"/>
      <c r="AC14" s="125">
        <v>26</v>
      </c>
      <c r="AD14" s="125">
        <f t="shared" si="29"/>
        <v>52</v>
      </c>
      <c r="AF14" s="165"/>
      <c r="AG14" s="165"/>
      <c r="AH14" s="165"/>
      <c r="AI14" s="165"/>
      <c r="AJ14" s="165"/>
      <c r="AK14" s="165"/>
      <c r="AL14" s="165">
        <v>0.9</v>
      </c>
      <c r="AM14" s="165">
        <v>0.9</v>
      </c>
      <c r="AN14" s="165">
        <v>0.9</v>
      </c>
      <c r="AO14" s="165">
        <f t="shared" si="16"/>
        <v>0.9</v>
      </c>
      <c r="AQ14" s="152"/>
      <c r="AR14" s="152"/>
      <c r="AS14" s="152"/>
      <c r="AT14" s="152"/>
      <c r="AU14" s="152"/>
      <c r="AV14" s="152"/>
      <c r="AW14" s="152">
        <v>0</v>
      </c>
      <c r="AX14" s="152">
        <v>0</v>
      </c>
      <c r="AY14" s="152">
        <v>2100</v>
      </c>
      <c r="AZ14" s="152">
        <f t="shared" si="17"/>
        <v>2100</v>
      </c>
      <c r="BB14" s="152"/>
      <c r="BC14" s="152"/>
      <c r="BD14" s="152"/>
      <c r="BE14" s="152"/>
      <c r="BF14" s="152"/>
      <c r="BG14" s="152"/>
      <c r="BH14" s="152">
        <v>0</v>
      </c>
      <c r="BI14" s="152">
        <v>0</v>
      </c>
      <c r="BJ14" s="152">
        <v>1</v>
      </c>
      <c r="BK14" s="152">
        <f t="shared" si="18"/>
        <v>1</v>
      </c>
      <c r="BM14" s="152">
        <f t="shared" si="19"/>
        <v>0</v>
      </c>
      <c r="BN14" s="152">
        <f t="shared" si="19"/>
        <v>0</v>
      </c>
      <c r="BO14" s="152">
        <f t="shared" si="19"/>
        <v>0</v>
      </c>
      <c r="BP14" s="152">
        <f t="shared" si="19"/>
        <v>0</v>
      </c>
      <c r="BQ14" s="152">
        <f t="shared" si="19"/>
        <v>0</v>
      </c>
      <c r="BR14" s="152">
        <f t="shared" si="19"/>
        <v>0</v>
      </c>
      <c r="BS14" s="152">
        <f t="shared" si="19"/>
        <v>0</v>
      </c>
      <c r="BT14" s="152">
        <f t="shared" si="19"/>
        <v>0</v>
      </c>
      <c r="BU14" s="152">
        <f t="shared" si="19"/>
        <v>0</v>
      </c>
      <c r="BV14" s="152">
        <f t="shared" si="19"/>
        <v>0</v>
      </c>
      <c r="BX14" s="160"/>
      <c r="BY14" s="159"/>
      <c r="BZ14" s="159"/>
      <c r="CA14" s="159"/>
      <c r="CB14" s="159"/>
      <c r="CC14" s="159"/>
      <c r="CD14" s="159">
        <v>2.3632029727272732</v>
      </c>
      <c r="CE14" s="159">
        <v>2.4340990619090914</v>
      </c>
      <c r="CF14" s="159">
        <f t="shared" si="30"/>
        <v>2.5071220337663642</v>
      </c>
      <c r="CG14" s="159">
        <f t="shared" si="20"/>
        <v>2.5823356947793554</v>
      </c>
      <c r="CI14" s="128">
        <f t="shared" si="21"/>
        <v>0</v>
      </c>
      <c r="CJ14" s="128">
        <f t="shared" si="21"/>
        <v>0</v>
      </c>
      <c r="CK14" s="161">
        <f t="shared" si="21"/>
        <v>0</v>
      </c>
      <c r="CL14" s="161">
        <f t="shared" si="21"/>
        <v>0</v>
      </c>
      <c r="CM14" s="161">
        <f t="shared" si="21"/>
        <v>0</v>
      </c>
      <c r="CN14" s="278">
        <f t="shared" si="21"/>
        <v>0</v>
      </c>
      <c r="CO14" s="278">
        <f t="shared" si="21"/>
        <v>0</v>
      </c>
      <c r="CP14" s="278">
        <f t="shared" si="21"/>
        <v>0</v>
      </c>
      <c r="CQ14" s="278">
        <f t="shared" si="21"/>
        <v>0</v>
      </c>
      <c r="CR14" s="278">
        <f t="shared" si="21"/>
        <v>0</v>
      </c>
      <c r="CT14" s="168">
        <v>0.3</v>
      </c>
      <c r="CU14" s="168">
        <v>0.3</v>
      </c>
      <c r="CV14" s="168">
        <v>0.3</v>
      </c>
      <c r="CW14" s="168">
        <v>0.3</v>
      </c>
      <c r="CX14" s="168">
        <v>0.3</v>
      </c>
      <c r="CY14" s="168">
        <v>0.3</v>
      </c>
      <c r="CZ14" s="168">
        <v>0.3</v>
      </c>
      <c r="DA14" s="168">
        <v>0.3</v>
      </c>
      <c r="DB14" s="168">
        <v>0.3</v>
      </c>
      <c r="DC14" s="168">
        <v>0.3</v>
      </c>
      <c r="DE14" s="20">
        <f t="shared" si="22"/>
        <v>0</v>
      </c>
      <c r="DF14" s="128">
        <f t="shared" si="22"/>
        <v>0</v>
      </c>
      <c r="DG14" s="20">
        <f t="shared" si="22"/>
        <v>0</v>
      </c>
      <c r="DH14" s="20">
        <f t="shared" si="22"/>
        <v>0</v>
      </c>
      <c r="DI14" s="20">
        <f t="shared" si="22"/>
        <v>0</v>
      </c>
      <c r="DJ14" s="20">
        <f t="shared" si="22"/>
        <v>0</v>
      </c>
      <c r="DK14" s="20">
        <f t="shared" si="22"/>
        <v>0</v>
      </c>
      <c r="DL14" s="20">
        <f t="shared" si="22"/>
        <v>0</v>
      </c>
      <c r="DM14" s="20">
        <f t="shared" si="22"/>
        <v>0</v>
      </c>
      <c r="DN14" s="20">
        <f t="shared" si="22"/>
        <v>0</v>
      </c>
      <c r="DP14" s="20"/>
      <c r="DQ14" s="20"/>
      <c r="DR14" s="20"/>
      <c r="DS14" s="20"/>
      <c r="DT14" s="20"/>
      <c r="DU14" s="20"/>
      <c r="DV14" s="20"/>
      <c r="DW14" s="20"/>
      <c r="DX14" s="20"/>
      <c r="DY14" s="20"/>
      <c r="EA14" s="20">
        <f t="shared" si="23"/>
        <v>0</v>
      </c>
      <c r="EB14" s="20">
        <f t="shared" si="23"/>
        <v>0</v>
      </c>
      <c r="EC14" s="20">
        <f t="shared" si="23"/>
        <v>0</v>
      </c>
      <c r="ED14" s="20">
        <f t="shared" si="23"/>
        <v>0</v>
      </c>
      <c r="EE14" s="20">
        <f t="shared" si="23"/>
        <v>0</v>
      </c>
      <c r="EF14" s="20">
        <f t="shared" si="23"/>
        <v>0</v>
      </c>
      <c r="EG14" s="20">
        <f t="shared" si="23"/>
        <v>0</v>
      </c>
      <c r="EH14" s="20">
        <f t="shared" si="23"/>
        <v>0</v>
      </c>
      <c r="EI14" s="20">
        <f t="shared" si="23"/>
        <v>0</v>
      </c>
      <c r="EJ14" s="20">
        <f t="shared" si="23"/>
        <v>0</v>
      </c>
      <c r="EK14" s="8">
        <f t="shared" si="23"/>
        <v>0</v>
      </c>
      <c r="EL14" s="152">
        <f t="shared" si="24"/>
        <v>0</v>
      </c>
      <c r="EM14" s="152">
        <f t="shared" si="24"/>
        <v>0</v>
      </c>
      <c r="EN14" s="152">
        <f t="shared" si="24"/>
        <v>0</v>
      </c>
      <c r="EO14" s="152">
        <f t="shared" si="24"/>
        <v>0</v>
      </c>
      <c r="EP14" s="152">
        <f t="shared" si="24"/>
        <v>0</v>
      </c>
      <c r="EQ14" s="152">
        <f t="shared" si="24"/>
        <v>0</v>
      </c>
      <c r="ER14" s="152">
        <f t="shared" si="24"/>
        <v>0</v>
      </c>
      <c r="ES14" s="152">
        <f t="shared" si="24"/>
        <v>0</v>
      </c>
      <c r="ET14" s="152">
        <f t="shared" si="24"/>
        <v>0</v>
      </c>
      <c r="EU14" s="8">
        <f t="shared" si="25"/>
        <v>0</v>
      </c>
      <c r="EV14" s="154">
        <f t="shared" si="26"/>
        <v>0</v>
      </c>
      <c r="EW14" s="154">
        <f t="shared" si="26"/>
        <v>0</v>
      </c>
      <c r="EX14" s="154">
        <f t="shared" si="26"/>
        <v>0</v>
      </c>
      <c r="EY14" s="154">
        <f t="shared" si="26"/>
        <v>0</v>
      </c>
      <c r="EZ14" s="154">
        <f t="shared" si="26"/>
        <v>0</v>
      </c>
      <c r="FA14" s="154">
        <f t="shared" si="26"/>
        <v>0</v>
      </c>
      <c r="FB14" s="154">
        <f t="shared" si="26"/>
        <v>0</v>
      </c>
      <c r="FC14" s="154">
        <f t="shared" si="26"/>
        <v>0</v>
      </c>
      <c r="FD14" s="154">
        <f t="shared" si="26"/>
        <v>0</v>
      </c>
      <c r="FF14" s="154"/>
      <c r="FG14" s="154"/>
      <c r="FH14" s="127"/>
      <c r="FI14" s="127"/>
      <c r="FJ14" s="127"/>
      <c r="FK14" s="127"/>
      <c r="FL14" s="127">
        <f t="shared" si="32"/>
        <v>0.15000000000000002</v>
      </c>
      <c r="FM14" s="127">
        <f t="shared" si="31"/>
        <v>0.22999999999999995</v>
      </c>
      <c r="FN14" s="127">
        <f t="shared" si="31"/>
        <v>0.23854773928283424</v>
      </c>
      <c r="FO14" s="127">
        <f t="shared" si="31"/>
        <v>0.23847945412961566</v>
      </c>
      <c r="FQ14" s="20">
        <f t="shared" si="27"/>
        <v>0</v>
      </c>
      <c r="FR14" s="20">
        <f t="shared" si="27"/>
        <v>0</v>
      </c>
      <c r="FS14" s="128">
        <f t="shared" si="27"/>
        <v>0</v>
      </c>
      <c r="FT14" s="128">
        <f t="shared" si="27"/>
        <v>0</v>
      </c>
      <c r="FU14" s="128">
        <f t="shared" si="27"/>
        <v>0</v>
      </c>
      <c r="FV14" s="128">
        <f t="shared" si="27"/>
        <v>0</v>
      </c>
      <c r="FW14" s="128">
        <f t="shared" si="27"/>
        <v>0</v>
      </c>
      <c r="FX14" s="128">
        <f t="shared" si="27"/>
        <v>0</v>
      </c>
      <c r="FY14" s="128">
        <f t="shared" si="27"/>
        <v>0</v>
      </c>
      <c r="FZ14" s="128">
        <f t="shared" si="27"/>
        <v>0</v>
      </c>
      <c r="GA14" s="8">
        <f t="shared" si="28"/>
        <v>0</v>
      </c>
    </row>
    <row r="15" spans="1:183" ht="13.5">
      <c r="B15" s="19" t="s">
        <v>175</v>
      </c>
      <c r="C15" s="124" t="s">
        <v>171</v>
      </c>
      <c r="D15" s="19" t="s">
        <v>170</v>
      </c>
      <c r="E15" s="153">
        <v>0.88</v>
      </c>
      <c r="F15" s="170">
        <v>0.5</v>
      </c>
      <c r="G15" s="151">
        <v>1</v>
      </c>
      <c r="H15" s="19" t="s">
        <v>157</v>
      </c>
      <c r="J15" s="152">
        <v>0</v>
      </c>
      <c r="K15" s="152">
        <v>0</v>
      </c>
      <c r="L15" s="152">
        <v>0</v>
      </c>
      <c r="M15" s="152">
        <v>0</v>
      </c>
      <c r="N15" s="152">
        <v>0</v>
      </c>
      <c r="O15" s="152">
        <v>0</v>
      </c>
      <c r="P15" s="152">
        <v>0</v>
      </c>
      <c r="Q15" s="152">
        <v>0</v>
      </c>
      <c r="R15" s="152">
        <v>0</v>
      </c>
      <c r="S15" s="152">
        <v>0</v>
      </c>
      <c r="U15" s="152"/>
      <c r="V15" s="152"/>
      <c r="W15" s="152"/>
      <c r="X15" s="125"/>
      <c r="Y15" s="125"/>
      <c r="Z15" s="125"/>
      <c r="AA15" s="125"/>
      <c r="AB15" s="125"/>
      <c r="AC15" s="125">
        <v>39</v>
      </c>
      <c r="AD15" s="125">
        <f t="shared" si="29"/>
        <v>52</v>
      </c>
      <c r="AF15" s="165"/>
      <c r="AG15" s="165"/>
      <c r="AH15" s="165"/>
      <c r="AI15" s="165"/>
      <c r="AJ15" s="165"/>
      <c r="AK15" s="165"/>
      <c r="AL15" s="165">
        <v>1</v>
      </c>
      <c r="AM15" s="165">
        <v>1</v>
      </c>
      <c r="AN15" s="165">
        <v>1</v>
      </c>
      <c r="AO15" s="165">
        <f t="shared" si="16"/>
        <v>1</v>
      </c>
      <c r="AQ15" s="152"/>
      <c r="AR15" s="152"/>
      <c r="AS15" s="152"/>
      <c r="AT15" s="152"/>
      <c r="AU15" s="152"/>
      <c r="AV15" s="152"/>
      <c r="AW15" s="152">
        <v>0</v>
      </c>
      <c r="AX15" s="152">
        <v>0</v>
      </c>
      <c r="AY15" s="152">
        <v>315</v>
      </c>
      <c r="AZ15" s="152">
        <f t="shared" si="17"/>
        <v>315</v>
      </c>
      <c r="BB15" s="152"/>
      <c r="BC15" s="152"/>
      <c r="BD15" s="152"/>
      <c r="BE15" s="152"/>
      <c r="BF15" s="152"/>
      <c r="BG15" s="152"/>
      <c r="BH15" s="152">
        <v>0</v>
      </c>
      <c r="BI15" s="152">
        <v>0</v>
      </c>
      <c r="BJ15" s="152">
        <v>3</v>
      </c>
      <c r="BK15" s="152">
        <f t="shared" si="18"/>
        <v>3</v>
      </c>
      <c r="BM15" s="152">
        <f t="shared" si="19"/>
        <v>0</v>
      </c>
      <c r="BN15" s="152">
        <f t="shared" si="19"/>
        <v>0</v>
      </c>
      <c r="BO15" s="152">
        <f t="shared" si="19"/>
        <v>0</v>
      </c>
      <c r="BP15" s="152">
        <f t="shared" si="19"/>
        <v>0</v>
      </c>
      <c r="BQ15" s="152">
        <f t="shared" si="19"/>
        <v>0</v>
      </c>
      <c r="BR15" s="152">
        <f t="shared" si="19"/>
        <v>0</v>
      </c>
      <c r="BS15" s="152">
        <f t="shared" si="19"/>
        <v>0</v>
      </c>
      <c r="BT15" s="152">
        <f t="shared" si="19"/>
        <v>0</v>
      </c>
      <c r="BU15" s="152">
        <f t="shared" si="19"/>
        <v>0</v>
      </c>
      <c r="BV15" s="152">
        <f t="shared" si="19"/>
        <v>0</v>
      </c>
      <c r="BX15" s="160"/>
      <c r="BY15" s="159"/>
      <c r="BZ15" s="159"/>
      <c r="CA15" s="159"/>
      <c r="CB15" s="159"/>
      <c r="CC15" s="159"/>
      <c r="CD15" s="159">
        <v>26.522500000000004</v>
      </c>
      <c r="CE15" s="159">
        <v>27.318175000000007</v>
      </c>
      <c r="CF15" s="159">
        <f t="shared" si="30"/>
        <v>28.137720250000008</v>
      </c>
      <c r="CG15" s="159">
        <f t="shared" si="20"/>
        <v>28.981851857500008</v>
      </c>
      <c r="CI15" s="128">
        <f t="shared" si="21"/>
        <v>0</v>
      </c>
      <c r="CJ15" s="128">
        <f t="shared" si="21"/>
        <v>0</v>
      </c>
      <c r="CK15" s="161">
        <f t="shared" si="21"/>
        <v>0</v>
      </c>
      <c r="CL15" s="161">
        <f t="shared" si="21"/>
        <v>0</v>
      </c>
      <c r="CM15" s="161">
        <f t="shared" si="21"/>
        <v>0</v>
      </c>
      <c r="CN15" s="278">
        <f t="shared" si="21"/>
        <v>0</v>
      </c>
      <c r="CO15" s="278">
        <f t="shared" si="21"/>
        <v>0</v>
      </c>
      <c r="CP15" s="278">
        <f t="shared" si="21"/>
        <v>0</v>
      </c>
      <c r="CQ15" s="278">
        <f t="shared" si="21"/>
        <v>0</v>
      </c>
      <c r="CR15" s="278">
        <f t="shared" si="21"/>
        <v>0</v>
      </c>
      <c r="CT15" s="168">
        <v>0.3</v>
      </c>
      <c r="CU15" s="168">
        <v>0.3</v>
      </c>
      <c r="CV15" s="168">
        <v>0.3</v>
      </c>
      <c r="CW15" s="168">
        <v>0.3</v>
      </c>
      <c r="CX15" s="168">
        <v>0.3</v>
      </c>
      <c r="CY15" s="168">
        <v>0.3</v>
      </c>
      <c r="CZ15" s="168">
        <v>0.3</v>
      </c>
      <c r="DA15" s="168">
        <v>0.3</v>
      </c>
      <c r="DB15" s="168">
        <v>0.3</v>
      </c>
      <c r="DC15" s="168">
        <v>0.3</v>
      </c>
      <c r="DE15" s="20">
        <f t="shared" si="22"/>
        <v>0</v>
      </c>
      <c r="DF15" s="128">
        <f t="shared" si="22"/>
        <v>0</v>
      </c>
      <c r="DG15" s="20">
        <f t="shared" si="22"/>
        <v>0</v>
      </c>
      <c r="DH15" s="20">
        <f t="shared" si="22"/>
        <v>0</v>
      </c>
      <c r="DI15" s="20">
        <f t="shared" si="22"/>
        <v>0</v>
      </c>
      <c r="DJ15" s="20">
        <f t="shared" si="22"/>
        <v>0</v>
      </c>
      <c r="DK15" s="20">
        <f t="shared" si="22"/>
        <v>0</v>
      </c>
      <c r="DL15" s="20">
        <f t="shared" si="22"/>
        <v>0</v>
      </c>
      <c r="DM15" s="20">
        <f t="shared" si="22"/>
        <v>0</v>
      </c>
      <c r="DN15" s="20">
        <f t="shared" si="22"/>
        <v>0</v>
      </c>
      <c r="DP15" s="20"/>
      <c r="DQ15" s="20"/>
      <c r="DR15" s="20"/>
      <c r="DS15" s="20"/>
      <c r="DT15" s="20"/>
      <c r="DU15" s="20"/>
      <c r="DV15" s="20"/>
      <c r="DW15" s="20"/>
      <c r="DX15" s="20"/>
      <c r="DY15" s="20"/>
      <c r="EA15" s="20">
        <f t="shared" si="23"/>
        <v>0</v>
      </c>
      <c r="EB15" s="20">
        <f t="shared" si="23"/>
        <v>0</v>
      </c>
      <c r="EC15" s="20">
        <f t="shared" si="23"/>
        <v>0</v>
      </c>
      <c r="ED15" s="20">
        <f t="shared" si="23"/>
        <v>0</v>
      </c>
      <c r="EE15" s="20">
        <f t="shared" si="23"/>
        <v>0</v>
      </c>
      <c r="EF15" s="20">
        <f t="shared" si="23"/>
        <v>0</v>
      </c>
      <c r="EG15" s="20">
        <f t="shared" si="23"/>
        <v>0</v>
      </c>
      <c r="EH15" s="20">
        <f t="shared" si="23"/>
        <v>0</v>
      </c>
      <c r="EI15" s="20">
        <f t="shared" si="23"/>
        <v>0</v>
      </c>
      <c r="EJ15" s="20">
        <f t="shared" si="23"/>
        <v>0</v>
      </c>
      <c r="EK15" s="8">
        <f t="shared" si="23"/>
        <v>0</v>
      </c>
      <c r="EL15" s="152">
        <f t="shared" si="24"/>
        <v>0</v>
      </c>
      <c r="EM15" s="152">
        <f t="shared" si="24"/>
        <v>0</v>
      </c>
      <c r="EN15" s="152">
        <f t="shared" si="24"/>
        <v>0</v>
      </c>
      <c r="EO15" s="152">
        <f t="shared" si="24"/>
        <v>0</v>
      </c>
      <c r="EP15" s="152">
        <f t="shared" si="24"/>
        <v>0</v>
      </c>
      <c r="EQ15" s="152">
        <f t="shared" si="24"/>
        <v>0</v>
      </c>
      <c r="ER15" s="152">
        <f t="shared" si="24"/>
        <v>0</v>
      </c>
      <c r="ES15" s="152">
        <f t="shared" si="24"/>
        <v>0</v>
      </c>
      <c r="ET15" s="152">
        <f t="shared" si="24"/>
        <v>0</v>
      </c>
      <c r="EU15" s="8">
        <f t="shared" si="25"/>
        <v>0</v>
      </c>
      <c r="EV15" s="154">
        <f t="shared" si="26"/>
        <v>0</v>
      </c>
      <c r="EW15" s="154">
        <f t="shared" si="26"/>
        <v>0</v>
      </c>
      <c r="EX15" s="154">
        <f t="shared" si="26"/>
        <v>0</v>
      </c>
      <c r="EY15" s="154">
        <f t="shared" si="26"/>
        <v>0</v>
      </c>
      <c r="EZ15" s="154">
        <f t="shared" si="26"/>
        <v>0</v>
      </c>
      <c r="FA15" s="154">
        <f t="shared" si="26"/>
        <v>0</v>
      </c>
      <c r="FB15" s="154">
        <f t="shared" si="26"/>
        <v>0</v>
      </c>
      <c r="FC15" s="154">
        <f t="shared" si="26"/>
        <v>0</v>
      </c>
      <c r="FD15" s="154">
        <f t="shared" si="26"/>
        <v>0</v>
      </c>
      <c r="FF15" s="154"/>
      <c r="FG15" s="154"/>
      <c r="FH15" s="127"/>
      <c r="FI15" s="127"/>
      <c r="FJ15" s="127"/>
      <c r="FK15" s="127"/>
      <c r="FL15" s="127">
        <f t="shared" si="32"/>
        <v>0.15000000000000002</v>
      </c>
      <c r="FM15" s="127">
        <f t="shared" si="31"/>
        <v>0.22999999999999995</v>
      </c>
      <c r="FN15" s="127">
        <f t="shared" si="31"/>
        <v>0.23854773928283424</v>
      </c>
      <c r="FO15" s="127">
        <f t="shared" si="31"/>
        <v>0.23847945412961566</v>
      </c>
      <c r="FQ15" s="20">
        <f t="shared" si="27"/>
        <v>0</v>
      </c>
      <c r="FR15" s="20">
        <f t="shared" si="27"/>
        <v>0</v>
      </c>
      <c r="FS15" s="128">
        <f t="shared" si="27"/>
        <v>0</v>
      </c>
      <c r="FT15" s="128">
        <f t="shared" si="27"/>
        <v>0</v>
      </c>
      <c r="FU15" s="128">
        <f t="shared" si="27"/>
        <v>0</v>
      </c>
      <c r="FV15" s="128">
        <f t="shared" si="27"/>
        <v>0</v>
      </c>
      <c r="FW15" s="128">
        <f t="shared" si="27"/>
        <v>0</v>
      </c>
      <c r="FX15" s="128">
        <f t="shared" si="27"/>
        <v>0</v>
      </c>
      <c r="FY15" s="128">
        <f t="shared" si="27"/>
        <v>0</v>
      </c>
      <c r="FZ15" s="128">
        <f t="shared" si="27"/>
        <v>0</v>
      </c>
      <c r="GA15" s="8">
        <f t="shared" si="28"/>
        <v>0</v>
      </c>
    </row>
    <row r="16" spans="1:183" ht="13.5">
      <c r="B16" s="19" t="s">
        <v>175</v>
      </c>
      <c r="C16" s="124" t="s">
        <v>172</v>
      </c>
      <c r="D16" s="19" t="s">
        <v>121</v>
      </c>
      <c r="E16" s="153">
        <v>0.02</v>
      </c>
      <c r="F16" s="170">
        <v>0.25110000000000005</v>
      </c>
      <c r="G16" s="151">
        <v>1</v>
      </c>
      <c r="H16" s="19" t="s">
        <v>176</v>
      </c>
      <c r="J16" s="152">
        <v>0</v>
      </c>
      <c r="K16" s="152">
        <v>0</v>
      </c>
      <c r="L16" s="152">
        <v>0</v>
      </c>
      <c r="M16" s="152">
        <v>0</v>
      </c>
      <c r="N16" s="152">
        <v>0</v>
      </c>
      <c r="O16" s="152">
        <v>0</v>
      </c>
      <c r="P16" s="152">
        <v>0</v>
      </c>
      <c r="Q16" s="152">
        <v>0</v>
      </c>
      <c r="R16" s="152">
        <v>0</v>
      </c>
      <c r="S16" s="152">
        <v>0</v>
      </c>
      <c r="U16" s="152"/>
      <c r="V16" s="152"/>
      <c r="W16" s="152"/>
      <c r="X16" s="152"/>
      <c r="Y16" s="152"/>
      <c r="Z16" s="152"/>
      <c r="AA16" s="152"/>
      <c r="AB16" s="152">
        <v>39</v>
      </c>
      <c r="AC16" s="152">
        <v>52</v>
      </c>
      <c r="AD16" s="152">
        <f t="shared" si="29"/>
        <v>52</v>
      </c>
      <c r="AF16" s="165"/>
      <c r="AG16" s="165"/>
      <c r="AH16" s="165"/>
      <c r="AI16" s="165"/>
      <c r="AJ16" s="165"/>
      <c r="AK16" s="165"/>
      <c r="AL16" s="165">
        <v>0.75</v>
      </c>
      <c r="AM16" s="165">
        <v>0.75</v>
      </c>
      <c r="AN16" s="165">
        <v>0.75</v>
      </c>
      <c r="AO16" s="165">
        <f t="shared" si="16"/>
        <v>0.75</v>
      </c>
      <c r="AQ16" s="152"/>
      <c r="AR16" s="152"/>
      <c r="AS16" s="152"/>
      <c r="AT16" s="152"/>
      <c r="AU16" s="152"/>
      <c r="AV16" s="152"/>
      <c r="AW16" s="152">
        <v>0</v>
      </c>
      <c r="AX16" s="152">
        <v>594</v>
      </c>
      <c r="AY16" s="152">
        <v>864</v>
      </c>
      <c r="AZ16" s="152">
        <f t="shared" si="17"/>
        <v>864</v>
      </c>
      <c r="BB16" s="152"/>
      <c r="BC16" s="152"/>
      <c r="BD16" s="152"/>
      <c r="BE16" s="152"/>
      <c r="BF16" s="152"/>
      <c r="BG16" s="152"/>
      <c r="BH16" s="152">
        <v>0</v>
      </c>
      <c r="BI16" s="152">
        <v>6</v>
      </c>
      <c r="BJ16" s="152">
        <v>10</v>
      </c>
      <c r="BK16" s="152">
        <f t="shared" si="18"/>
        <v>10</v>
      </c>
      <c r="BM16" s="125">
        <f t="shared" si="19"/>
        <v>0</v>
      </c>
      <c r="BN16" s="125">
        <f t="shared" si="19"/>
        <v>0</v>
      </c>
      <c r="BO16" s="125">
        <f t="shared" si="19"/>
        <v>0</v>
      </c>
      <c r="BP16" s="125">
        <f t="shared" si="19"/>
        <v>0</v>
      </c>
      <c r="BQ16" s="125">
        <f t="shared" si="19"/>
        <v>0</v>
      </c>
      <c r="BR16" s="125">
        <f t="shared" si="19"/>
        <v>0</v>
      </c>
      <c r="BS16" s="125">
        <f t="shared" si="19"/>
        <v>0</v>
      </c>
      <c r="BT16" s="125">
        <f t="shared" si="19"/>
        <v>0</v>
      </c>
      <c r="BU16" s="125">
        <f t="shared" si="19"/>
        <v>0</v>
      </c>
      <c r="BV16" s="125">
        <f t="shared" si="19"/>
        <v>0</v>
      </c>
      <c r="BX16" s="160"/>
      <c r="BY16" s="159"/>
      <c r="BZ16" s="159"/>
      <c r="CA16" s="159"/>
      <c r="CB16" s="159"/>
      <c r="CC16" s="159"/>
      <c r="CD16" s="159">
        <v>3.097001614736842</v>
      </c>
      <c r="CE16" s="159">
        <v>3.1899116631789473</v>
      </c>
      <c r="CF16" s="159">
        <f t="shared" si="30"/>
        <v>3.2856090130743159</v>
      </c>
      <c r="CG16" s="159">
        <f t="shared" si="20"/>
        <v>3.3841772834665456</v>
      </c>
      <c r="CI16" s="128">
        <f t="shared" si="21"/>
        <v>0</v>
      </c>
      <c r="CJ16" s="128">
        <f t="shared" si="21"/>
        <v>0</v>
      </c>
      <c r="CK16" s="161">
        <f t="shared" si="21"/>
        <v>0</v>
      </c>
      <c r="CL16" s="161">
        <f t="shared" si="21"/>
        <v>0</v>
      </c>
      <c r="CM16" s="161">
        <f t="shared" si="21"/>
        <v>0</v>
      </c>
      <c r="CN16" s="278">
        <f t="shared" si="21"/>
        <v>0</v>
      </c>
      <c r="CO16" s="278">
        <f t="shared" si="21"/>
        <v>0</v>
      </c>
      <c r="CP16" s="278">
        <f t="shared" si="21"/>
        <v>0</v>
      </c>
      <c r="CQ16" s="278">
        <f t="shared" si="21"/>
        <v>0</v>
      </c>
      <c r="CR16" s="278">
        <f t="shared" si="21"/>
        <v>0</v>
      </c>
      <c r="CT16" s="25">
        <v>0.3</v>
      </c>
      <c r="CU16" s="168">
        <v>0.3</v>
      </c>
      <c r="CV16" s="168">
        <v>0.3</v>
      </c>
      <c r="CW16" s="168">
        <v>0.3</v>
      </c>
      <c r="CX16" s="168">
        <v>0.3</v>
      </c>
      <c r="CY16" s="168">
        <v>0.3</v>
      </c>
      <c r="CZ16" s="168">
        <v>0.3</v>
      </c>
      <c r="DA16" s="168">
        <v>0.3</v>
      </c>
      <c r="DB16" s="168">
        <v>0.3</v>
      </c>
      <c r="DC16" s="168">
        <v>0.3</v>
      </c>
      <c r="DE16" s="20">
        <f t="shared" si="22"/>
        <v>0</v>
      </c>
      <c r="DF16" s="128">
        <f t="shared" si="22"/>
        <v>0</v>
      </c>
      <c r="DG16" s="20">
        <f t="shared" si="22"/>
        <v>0</v>
      </c>
      <c r="DH16" s="20">
        <f t="shared" si="22"/>
        <v>0</v>
      </c>
      <c r="DI16" s="20">
        <f t="shared" si="22"/>
        <v>0</v>
      </c>
      <c r="DJ16" s="20">
        <f t="shared" si="22"/>
        <v>0</v>
      </c>
      <c r="DK16" s="20">
        <f t="shared" si="22"/>
        <v>0</v>
      </c>
      <c r="DL16" s="20">
        <f t="shared" si="22"/>
        <v>0</v>
      </c>
      <c r="DM16" s="20">
        <f t="shared" si="22"/>
        <v>0</v>
      </c>
      <c r="DN16" s="20">
        <f t="shared" si="22"/>
        <v>0</v>
      </c>
      <c r="DP16" s="20"/>
      <c r="DQ16" s="20"/>
      <c r="DR16" s="20"/>
      <c r="DS16" s="20"/>
      <c r="DT16" s="20"/>
      <c r="DU16" s="20"/>
      <c r="DV16" s="20"/>
      <c r="DW16" s="20"/>
      <c r="DX16" s="20"/>
      <c r="DY16" s="20"/>
      <c r="EA16" s="20">
        <f t="shared" si="23"/>
        <v>0</v>
      </c>
      <c r="EB16" s="20">
        <f t="shared" si="23"/>
        <v>0</v>
      </c>
      <c r="EC16" s="20">
        <f t="shared" si="23"/>
        <v>0</v>
      </c>
      <c r="ED16" s="20">
        <f t="shared" si="23"/>
        <v>0</v>
      </c>
      <c r="EE16" s="20">
        <f t="shared" si="23"/>
        <v>0</v>
      </c>
      <c r="EF16" s="20">
        <f t="shared" si="23"/>
        <v>0</v>
      </c>
      <c r="EG16" s="20">
        <f t="shared" si="23"/>
        <v>0</v>
      </c>
      <c r="EH16" s="20">
        <f t="shared" si="23"/>
        <v>0</v>
      </c>
      <c r="EI16" s="20">
        <f t="shared" si="23"/>
        <v>0</v>
      </c>
      <c r="EJ16" s="20">
        <f t="shared" si="23"/>
        <v>0</v>
      </c>
      <c r="EK16" s="8">
        <f t="shared" si="23"/>
        <v>0</v>
      </c>
      <c r="EL16" s="152">
        <f t="shared" si="24"/>
        <v>0</v>
      </c>
      <c r="EM16" s="152">
        <f t="shared" si="24"/>
        <v>0</v>
      </c>
      <c r="EN16" s="152">
        <f t="shared" si="24"/>
        <v>0</v>
      </c>
      <c r="EO16" s="152">
        <f t="shared" si="24"/>
        <v>0</v>
      </c>
      <c r="EP16" s="152">
        <f t="shared" si="24"/>
        <v>0</v>
      </c>
      <c r="EQ16" s="152">
        <f t="shared" si="24"/>
        <v>0</v>
      </c>
      <c r="ER16" s="152">
        <f t="shared" si="24"/>
        <v>0</v>
      </c>
      <c r="ES16" s="152">
        <f t="shared" si="24"/>
        <v>0</v>
      </c>
      <c r="ET16" s="152">
        <f t="shared" si="24"/>
        <v>0</v>
      </c>
      <c r="EU16" s="8">
        <f t="shared" si="25"/>
        <v>0</v>
      </c>
      <c r="EV16" s="154">
        <f t="shared" si="26"/>
        <v>0</v>
      </c>
      <c r="EW16" s="154">
        <f t="shared" si="26"/>
        <v>0</v>
      </c>
      <c r="EX16" s="154">
        <f t="shared" si="26"/>
        <v>0</v>
      </c>
      <c r="EY16" s="154">
        <f t="shared" si="26"/>
        <v>0</v>
      </c>
      <c r="EZ16" s="154">
        <f t="shared" si="26"/>
        <v>0</v>
      </c>
      <c r="FA16" s="154">
        <f t="shared" si="26"/>
        <v>0</v>
      </c>
      <c r="FB16" s="154">
        <f t="shared" si="26"/>
        <v>0</v>
      </c>
      <c r="FC16" s="154">
        <f t="shared" si="26"/>
        <v>0</v>
      </c>
      <c r="FD16" s="154">
        <f t="shared" si="26"/>
        <v>0</v>
      </c>
      <c r="FF16" s="154"/>
      <c r="FG16" s="154"/>
      <c r="FH16" s="127"/>
      <c r="FI16" s="127"/>
      <c r="FJ16" s="127"/>
      <c r="FK16" s="127"/>
      <c r="FL16" s="127">
        <f t="shared" si="32"/>
        <v>0.15000000000000002</v>
      </c>
      <c r="FM16" s="127">
        <f t="shared" si="31"/>
        <v>0.22999999999999995</v>
      </c>
      <c r="FN16" s="127">
        <f t="shared" si="31"/>
        <v>0.23854773928283424</v>
      </c>
      <c r="FO16" s="127">
        <f t="shared" si="31"/>
        <v>0.23847945412961566</v>
      </c>
      <c r="FQ16" s="20">
        <f t="shared" si="27"/>
        <v>0</v>
      </c>
      <c r="FR16" s="20">
        <f t="shared" si="27"/>
        <v>0</v>
      </c>
      <c r="FS16" s="128">
        <f t="shared" si="27"/>
        <v>0</v>
      </c>
      <c r="FT16" s="128">
        <f t="shared" si="27"/>
        <v>0</v>
      </c>
      <c r="FU16" s="128">
        <f t="shared" si="27"/>
        <v>0</v>
      </c>
      <c r="FV16" s="128">
        <f t="shared" si="27"/>
        <v>0</v>
      </c>
      <c r="FW16" s="128">
        <f t="shared" si="27"/>
        <v>0</v>
      </c>
      <c r="FX16" s="128">
        <f t="shared" si="27"/>
        <v>0</v>
      </c>
      <c r="FY16" s="128">
        <f t="shared" si="27"/>
        <v>0</v>
      </c>
      <c r="FZ16" s="128">
        <f t="shared" si="27"/>
        <v>0</v>
      </c>
      <c r="GA16" s="8">
        <f t="shared" si="28"/>
        <v>0</v>
      </c>
    </row>
    <row r="17" spans="2:183" ht="13.5">
      <c r="B17" s="19" t="s">
        <v>175</v>
      </c>
      <c r="C17" s="124" t="s">
        <v>172</v>
      </c>
      <c r="D17" s="19" t="s">
        <v>129</v>
      </c>
      <c r="E17" s="153">
        <v>0.02</v>
      </c>
      <c r="F17" s="170">
        <v>1</v>
      </c>
      <c r="G17" s="151">
        <v>1</v>
      </c>
      <c r="H17" s="19" t="s">
        <v>177</v>
      </c>
      <c r="J17" s="152">
        <v>0</v>
      </c>
      <c r="K17" s="152">
        <v>0</v>
      </c>
      <c r="L17" s="152">
        <v>0</v>
      </c>
      <c r="M17" s="152">
        <v>0</v>
      </c>
      <c r="N17" s="152">
        <v>0</v>
      </c>
      <c r="O17" s="152">
        <v>0</v>
      </c>
      <c r="P17" s="152">
        <v>0</v>
      </c>
      <c r="Q17" s="152">
        <v>0</v>
      </c>
      <c r="R17" s="152">
        <v>0</v>
      </c>
      <c r="S17" s="152">
        <v>0</v>
      </c>
      <c r="U17" s="152"/>
      <c r="V17" s="152"/>
      <c r="W17" s="152"/>
      <c r="X17" s="152"/>
      <c r="Y17" s="152"/>
      <c r="Z17" s="152"/>
      <c r="AA17" s="152"/>
      <c r="AB17" s="152">
        <v>26</v>
      </c>
      <c r="AC17" s="152">
        <v>52</v>
      </c>
      <c r="AD17" s="152">
        <f t="shared" si="29"/>
        <v>52</v>
      </c>
      <c r="AF17" s="165"/>
      <c r="AG17" s="165"/>
      <c r="AH17" s="165"/>
      <c r="AI17" s="165"/>
      <c r="AJ17" s="165"/>
      <c r="AK17" s="165"/>
      <c r="AL17" s="165">
        <v>0.9</v>
      </c>
      <c r="AM17" s="165">
        <v>0.9</v>
      </c>
      <c r="AN17" s="165">
        <v>0.9</v>
      </c>
      <c r="AO17" s="165">
        <f t="shared" si="16"/>
        <v>0.9</v>
      </c>
      <c r="AQ17" s="152"/>
      <c r="AR17" s="152"/>
      <c r="AS17" s="152"/>
      <c r="AT17" s="152"/>
      <c r="AU17" s="152"/>
      <c r="AV17" s="152"/>
      <c r="AW17" s="152">
        <v>0</v>
      </c>
      <c r="AX17" s="152">
        <v>594</v>
      </c>
      <c r="AY17" s="152">
        <v>864</v>
      </c>
      <c r="AZ17" s="152">
        <f t="shared" si="17"/>
        <v>864</v>
      </c>
      <c r="BB17" s="152"/>
      <c r="BC17" s="152"/>
      <c r="BD17" s="152"/>
      <c r="BE17" s="152"/>
      <c r="BF17" s="152"/>
      <c r="BG17" s="152"/>
      <c r="BH17" s="152">
        <v>0</v>
      </c>
      <c r="BI17" s="152">
        <v>1</v>
      </c>
      <c r="BJ17" s="152">
        <v>3</v>
      </c>
      <c r="BK17" s="152">
        <f t="shared" si="18"/>
        <v>3</v>
      </c>
      <c r="BM17" s="167">
        <f t="shared" si="19"/>
        <v>0</v>
      </c>
      <c r="BN17" s="152">
        <f t="shared" si="19"/>
        <v>0</v>
      </c>
      <c r="BO17" s="152">
        <f t="shared" si="19"/>
        <v>0</v>
      </c>
      <c r="BP17" s="152">
        <f t="shared" si="19"/>
        <v>0</v>
      </c>
      <c r="BQ17" s="152">
        <f t="shared" si="19"/>
        <v>0</v>
      </c>
      <c r="BR17" s="152">
        <f t="shared" si="19"/>
        <v>0</v>
      </c>
      <c r="BS17" s="152">
        <f t="shared" si="19"/>
        <v>0</v>
      </c>
      <c r="BT17" s="152">
        <f t="shared" si="19"/>
        <v>0</v>
      </c>
      <c r="BU17" s="152">
        <f t="shared" si="19"/>
        <v>0</v>
      </c>
      <c r="BV17" s="152">
        <f t="shared" si="19"/>
        <v>0</v>
      </c>
      <c r="BX17" s="160"/>
      <c r="BY17" s="159"/>
      <c r="BZ17" s="159"/>
      <c r="CA17" s="159"/>
      <c r="CB17" s="159"/>
      <c r="CC17" s="159"/>
      <c r="CD17" s="159">
        <v>1.8077736</v>
      </c>
      <c r="CE17" s="159">
        <v>1.8620068080000001</v>
      </c>
      <c r="CF17" s="159">
        <f t="shared" si="30"/>
        <v>1.9178670122400001</v>
      </c>
      <c r="CG17" s="159">
        <f t="shared" si="20"/>
        <v>1.9754030226072001</v>
      </c>
      <c r="CI17" s="128">
        <f t="shared" si="21"/>
        <v>0</v>
      </c>
      <c r="CJ17" s="128">
        <f t="shared" si="21"/>
        <v>0</v>
      </c>
      <c r="CK17" s="161">
        <f t="shared" si="21"/>
        <v>0</v>
      </c>
      <c r="CL17" s="161">
        <f t="shared" si="21"/>
        <v>0</v>
      </c>
      <c r="CM17" s="161">
        <f t="shared" si="21"/>
        <v>0</v>
      </c>
      <c r="CN17" s="278">
        <f t="shared" si="21"/>
        <v>0</v>
      </c>
      <c r="CO17" s="278">
        <f t="shared" si="21"/>
        <v>0</v>
      </c>
      <c r="CP17" s="278">
        <f t="shared" si="21"/>
        <v>0</v>
      </c>
      <c r="CQ17" s="278">
        <f t="shared" si="21"/>
        <v>0</v>
      </c>
      <c r="CR17" s="278">
        <f t="shared" si="21"/>
        <v>0</v>
      </c>
      <c r="CT17" s="25">
        <v>0.3</v>
      </c>
      <c r="CU17" s="168">
        <v>0.3</v>
      </c>
      <c r="CV17" s="168">
        <v>0.3</v>
      </c>
      <c r="CW17" s="168">
        <v>0.3</v>
      </c>
      <c r="CX17" s="168">
        <v>0.3</v>
      </c>
      <c r="CY17" s="168">
        <v>0.3</v>
      </c>
      <c r="CZ17" s="168">
        <v>0.3</v>
      </c>
      <c r="DA17" s="168">
        <v>0.3</v>
      </c>
      <c r="DB17" s="168">
        <v>0.3</v>
      </c>
      <c r="DC17" s="168">
        <v>0.3</v>
      </c>
      <c r="DE17" s="20">
        <f t="shared" si="22"/>
        <v>0</v>
      </c>
      <c r="DF17" s="128">
        <f t="shared" si="22"/>
        <v>0</v>
      </c>
      <c r="DG17" s="20">
        <f t="shared" si="22"/>
        <v>0</v>
      </c>
      <c r="DH17" s="20">
        <f t="shared" si="22"/>
        <v>0</v>
      </c>
      <c r="DI17" s="20">
        <f t="shared" si="22"/>
        <v>0</v>
      </c>
      <c r="DJ17" s="20">
        <f t="shared" si="22"/>
        <v>0</v>
      </c>
      <c r="DK17" s="20">
        <f t="shared" si="22"/>
        <v>0</v>
      </c>
      <c r="DL17" s="20">
        <f t="shared" si="22"/>
        <v>0</v>
      </c>
      <c r="DM17" s="20">
        <f t="shared" si="22"/>
        <v>0</v>
      </c>
      <c r="DN17" s="20">
        <f t="shared" si="22"/>
        <v>0</v>
      </c>
      <c r="DP17" s="20"/>
      <c r="DQ17" s="20"/>
      <c r="DR17" s="20"/>
      <c r="DS17" s="20"/>
      <c r="DT17" s="20"/>
      <c r="DU17" s="20"/>
      <c r="DV17" s="20"/>
      <c r="DW17" s="20"/>
      <c r="DX17" s="20"/>
      <c r="DY17" s="20"/>
      <c r="EA17" s="20">
        <f t="shared" si="23"/>
        <v>0</v>
      </c>
      <c r="EB17" s="20">
        <f t="shared" si="23"/>
        <v>0</v>
      </c>
      <c r="EC17" s="20">
        <f t="shared" si="23"/>
        <v>0</v>
      </c>
      <c r="ED17" s="20">
        <f t="shared" si="23"/>
        <v>0</v>
      </c>
      <c r="EE17" s="20">
        <f t="shared" si="23"/>
        <v>0</v>
      </c>
      <c r="EF17" s="20">
        <f t="shared" si="23"/>
        <v>0</v>
      </c>
      <c r="EG17" s="20">
        <f t="shared" si="23"/>
        <v>0</v>
      </c>
      <c r="EH17" s="20">
        <f t="shared" si="23"/>
        <v>0</v>
      </c>
      <c r="EI17" s="20">
        <f t="shared" si="23"/>
        <v>0</v>
      </c>
      <c r="EJ17" s="20">
        <f t="shared" si="23"/>
        <v>0</v>
      </c>
      <c r="EK17" s="8">
        <f t="shared" si="23"/>
        <v>0</v>
      </c>
      <c r="EL17" s="152">
        <f t="shared" si="24"/>
        <v>0</v>
      </c>
      <c r="EM17" s="152">
        <f t="shared" si="24"/>
        <v>0</v>
      </c>
      <c r="EN17" s="152">
        <f t="shared" si="24"/>
        <v>0</v>
      </c>
      <c r="EO17" s="152">
        <f t="shared" si="24"/>
        <v>0</v>
      </c>
      <c r="EP17" s="152">
        <f t="shared" si="24"/>
        <v>0</v>
      </c>
      <c r="EQ17" s="152">
        <f t="shared" si="24"/>
        <v>0</v>
      </c>
      <c r="ER17" s="152">
        <f t="shared" si="24"/>
        <v>0</v>
      </c>
      <c r="ES17" s="152">
        <f t="shared" si="24"/>
        <v>0</v>
      </c>
      <c r="ET17" s="152">
        <f t="shared" si="24"/>
        <v>0</v>
      </c>
      <c r="EU17" s="8">
        <f t="shared" si="25"/>
        <v>0</v>
      </c>
      <c r="EV17" s="154">
        <f t="shared" si="26"/>
        <v>0</v>
      </c>
      <c r="EW17" s="154">
        <f t="shared" si="26"/>
        <v>0</v>
      </c>
      <c r="EX17" s="154">
        <f t="shared" si="26"/>
        <v>0</v>
      </c>
      <c r="EY17" s="154">
        <f t="shared" si="26"/>
        <v>0</v>
      </c>
      <c r="EZ17" s="154">
        <f t="shared" si="26"/>
        <v>0</v>
      </c>
      <c r="FA17" s="154">
        <f t="shared" si="26"/>
        <v>0</v>
      </c>
      <c r="FB17" s="154">
        <f t="shared" si="26"/>
        <v>0</v>
      </c>
      <c r="FC17" s="154">
        <f t="shared" si="26"/>
        <v>0</v>
      </c>
      <c r="FD17" s="154">
        <f t="shared" si="26"/>
        <v>0</v>
      </c>
      <c r="FF17" s="154"/>
      <c r="FG17" s="154"/>
      <c r="FH17" s="127"/>
      <c r="FI17" s="127"/>
      <c r="FJ17" s="127"/>
      <c r="FK17" s="127"/>
      <c r="FL17" s="127">
        <f t="shared" si="32"/>
        <v>0.15000000000000002</v>
      </c>
      <c r="FM17" s="127">
        <f t="shared" si="31"/>
        <v>0.22999999999999995</v>
      </c>
      <c r="FN17" s="127">
        <f t="shared" si="31"/>
        <v>0.23854773928283424</v>
      </c>
      <c r="FO17" s="127">
        <f t="shared" si="31"/>
        <v>0.23847945412961566</v>
      </c>
      <c r="FQ17" s="20">
        <f t="shared" si="27"/>
        <v>0</v>
      </c>
      <c r="FR17" s="20">
        <f t="shared" si="27"/>
        <v>0</v>
      </c>
      <c r="FS17" s="128">
        <f t="shared" si="27"/>
        <v>0</v>
      </c>
      <c r="FT17" s="128">
        <f t="shared" si="27"/>
        <v>0</v>
      </c>
      <c r="FU17" s="128">
        <f t="shared" si="27"/>
        <v>0</v>
      </c>
      <c r="FV17" s="128">
        <f t="shared" si="27"/>
        <v>0</v>
      </c>
      <c r="FW17" s="128">
        <f t="shared" si="27"/>
        <v>0</v>
      </c>
      <c r="FX17" s="128">
        <f t="shared" si="27"/>
        <v>0</v>
      </c>
      <c r="FY17" s="128">
        <f t="shared" si="27"/>
        <v>0</v>
      </c>
      <c r="FZ17" s="128">
        <f t="shared" si="27"/>
        <v>0</v>
      </c>
      <c r="GA17" s="8">
        <f t="shared" si="28"/>
        <v>0</v>
      </c>
    </row>
    <row r="18" spans="2:183" ht="13.5">
      <c r="B18" s="19" t="s">
        <v>175</v>
      </c>
      <c r="C18" s="124" t="s">
        <v>172</v>
      </c>
      <c r="D18" s="19" t="s">
        <v>167</v>
      </c>
      <c r="E18" s="153">
        <v>0.02</v>
      </c>
      <c r="F18" s="170">
        <v>0.5</v>
      </c>
      <c r="G18" s="151">
        <v>1</v>
      </c>
      <c r="H18" s="19" t="s">
        <v>157</v>
      </c>
      <c r="J18" s="152">
        <v>0</v>
      </c>
      <c r="K18" s="152">
        <v>0</v>
      </c>
      <c r="L18" s="152">
        <v>0</v>
      </c>
      <c r="M18" s="152">
        <v>0</v>
      </c>
      <c r="N18" s="152">
        <v>0</v>
      </c>
      <c r="O18" s="152">
        <v>0</v>
      </c>
      <c r="P18" s="152">
        <v>0</v>
      </c>
      <c r="Q18" s="152">
        <v>0</v>
      </c>
      <c r="R18" s="152">
        <v>0</v>
      </c>
      <c r="S18" s="152">
        <v>0</v>
      </c>
      <c r="U18" s="152"/>
      <c r="V18" s="152"/>
      <c r="W18" s="152"/>
      <c r="X18" s="152"/>
      <c r="Y18" s="152"/>
      <c r="Z18" s="152"/>
      <c r="AA18" s="152"/>
      <c r="AB18" s="152"/>
      <c r="AC18" s="152">
        <v>39</v>
      </c>
      <c r="AD18" s="152">
        <f t="shared" si="29"/>
        <v>52</v>
      </c>
      <c r="AF18" s="165"/>
      <c r="AG18" s="165"/>
      <c r="AH18" s="165"/>
      <c r="AI18" s="165"/>
      <c r="AJ18" s="165"/>
      <c r="AK18" s="165"/>
      <c r="AL18" s="165">
        <v>0.9</v>
      </c>
      <c r="AM18" s="165">
        <v>0.9</v>
      </c>
      <c r="AN18" s="165">
        <v>0.9</v>
      </c>
      <c r="AO18" s="165">
        <f t="shared" si="16"/>
        <v>0.9</v>
      </c>
      <c r="AQ18" s="152"/>
      <c r="AR18" s="152"/>
      <c r="AS18" s="152"/>
      <c r="AT18" s="152"/>
      <c r="AU18" s="152"/>
      <c r="AV18" s="152"/>
      <c r="AW18" s="152">
        <v>0</v>
      </c>
      <c r="AX18" s="152">
        <v>0</v>
      </c>
      <c r="AY18" s="152">
        <v>594</v>
      </c>
      <c r="AZ18" s="152">
        <f t="shared" si="17"/>
        <v>594</v>
      </c>
      <c r="BB18" s="152"/>
      <c r="BC18" s="152"/>
      <c r="BD18" s="152"/>
      <c r="BE18" s="152"/>
      <c r="BF18" s="152"/>
      <c r="BG18" s="152"/>
      <c r="BH18" s="152">
        <v>0</v>
      </c>
      <c r="BI18" s="152">
        <v>0</v>
      </c>
      <c r="BJ18" s="152">
        <v>1</v>
      </c>
      <c r="BK18" s="152">
        <f t="shared" si="18"/>
        <v>1</v>
      </c>
      <c r="BM18" s="167">
        <f t="shared" si="19"/>
        <v>0</v>
      </c>
      <c r="BN18" s="152">
        <f t="shared" si="19"/>
        <v>0</v>
      </c>
      <c r="BO18" s="152">
        <f t="shared" si="19"/>
        <v>0</v>
      </c>
      <c r="BP18" s="152">
        <f t="shared" si="19"/>
        <v>0</v>
      </c>
      <c r="BQ18" s="152">
        <f t="shared" si="19"/>
        <v>0</v>
      </c>
      <c r="BR18" s="152">
        <f t="shared" si="19"/>
        <v>0</v>
      </c>
      <c r="BS18" s="152">
        <f t="shared" si="19"/>
        <v>0</v>
      </c>
      <c r="BT18" s="152">
        <f t="shared" si="19"/>
        <v>0</v>
      </c>
      <c r="BU18" s="152">
        <f t="shared" si="19"/>
        <v>0</v>
      </c>
      <c r="BV18" s="152">
        <f t="shared" si="19"/>
        <v>0</v>
      </c>
      <c r="BX18" s="160"/>
      <c r="BY18" s="159"/>
      <c r="BZ18" s="159"/>
      <c r="CA18" s="159"/>
      <c r="CB18" s="159"/>
      <c r="CC18" s="159"/>
      <c r="CD18" s="159">
        <v>2.2597169999999998</v>
      </c>
      <c r="CE18" s="159">
        <v>2.3275085099999999</v>
      </c>
      <c r="CF18" s="159">
        <f t="shared" si="30"/>
        <v>2.3973337653</v>
      </c>
      <c r="CG18" s="159">
        <f t="shared" si="20"/>
        <v>2.4692537782590001</v>
      </c>
      <c r="CI18" s="128">
        <f t="shared" si="21"/>
        <v>0</v>
      </c>
      <c r="CJ18" s="128">
        <f t="shared" si="21"/>
        <v>0</v>
      </c>
      <c r="CK18" s="161">
        <f t="shared" si="21"/>
        <v>0</v>
      </c>
      <c r="CL18" s="161">
        <f t="shared" si="21"/>
        <v>0</v>
      </c>
      <c r="CM18" s="161">
        <f t="shared" si="21"/>
        <v>0</v>
      </c>
      <c r="CN18" s="278">
        <f t="shared" si="21"/>
        <v>0</v>
      </c>
      <c r="CO18" s="278">
        <f t="shared" si="21"/>
        <v>0</v>
      </c>
      <c r="CP18" s="278">
        <f t="shared" si="21"/>
        <v>0</v>
      </c>
      <c r="CQ18" s="278">
        <f t="shared" si="21"/>
        <v>0</v>
      </c>
      <c r="CR18" s="278">
        <f t="shared" si="21"/>
        <v>0</v>
      </c>
      <c r="CT18" s="25">
        <v>0.3</v>
      </c>
      <c r="CU18" s="168">
        <v>0.3</v>
      </c>
      <c r="CV18" s="168">
        <v>0.3</v>
      </c>
      <c r="CW18" s="168">
        <v>0.3</v>
      </c>
      <c r="CX18" s="168">
        <v>0.3</v>
      </c>
      <c r="CY18" s="168">
        <v>0.3</v>
      </c>
      <c r="CZ18" s="168">
        <v>0.3</v>
      </c>
      <c r="DA18" s="168">
        <v>0.3</v>
      </c>
      <c r="DB18" s="168">
        <v>0.3</v>
      </c>
      <c r="DC18" s="168">
        <v>0.3</v>
      </c>
      <c r="DE18" s="20">
        <f t="shared" si="22"/>
        <v>0</v>
      </c>
      <c r="DF18" s="128">
        <f t="shared" si="22"/>
        <v>0</v>
      </c>
      <c r="DG18" s="20">
        <f t="shared" si="22"/>
        <v>0</v>
      </c>
      <c r="DH18" s="20">
        <f t="shared" si="22"/>
        <v>0</v>
      </c>
      <c r="DI18" s="20">
        <f t="shared" si="22"/>
        <v>0</v>
      </c>
      <c r="DJ18" s="20">
        <f t="shared" si="22"/>
        <v>0</v>
      </c>
      <c r="DK18" s="20">
        <f t="shared" si="22"/>
        <v>0</v>
      </c>
      <c r="DL18" s="20">
        <f t="shared" si="22"/>
        <v>0</v>
      </c>
      <c r="DM18" s="20">
        <f t="shared" si="22"/>
        <v>0</v>
      </c>
      <c r="DN18" s="20">
        <f t="shared" si="22"/>
        <v>0</v>
      </c>
      <c r="DP18" s="20"/>
      <c r="DQ18" s="20"/>
      <c r="DR18" s="20"/>
      <c r="DS18" s="20"/>
      <c r="DT18" s="20"/>
      <c r="DU18" s="20"/>
      <c r="DV18" s="20"/>
      <c r="DW18" s="20"/>
      <c r="DX18" s="20"/>
      <c r="DY18" s="20"/>
      <c r="EA18" s="20">
        <f t="shared" si="23"/>
        <v>0</v>
      </c>
      <c r="EB18" s="20">
        <f t="shared" si="23"/>
        <v>0</v>
      </c>
      <c r="EC18" s="20">
        <f t="shared" si="23"/>
        <v>0</v>
      </c>
      <c r="ED18" s="20">
        <f t="shared" si="23"/>
        <v>0</v>
      </c>
      <c r="EE18" s="20">
        <f t="shared" si="23"/>
        <v>0</v>
      </c>
      <c r="EF18" s="20">
        <f t="shared" si="23"/>
        <v>0</v>
      </c>
      <c r="EG18" s="20">
        <f t="shared" si="23"/>
        <v>0</v>
      </c>
      <c r="EH18" s="20">
        <f t="shared" si="23"/>
        <v>0</v>
      </c>
      <c r="EI18" s="20">
        <f t="shared" si="23"/>
        <v>0</v>
      </c>
      <c r="EJ18" s="20">
        <f t="shared" si="23"/>
        <v>0</v>
      </c>
      <c r="EK18" s="8">
        <f t="shared" si="23"/>
        <v>0</v>
      </c>
      <c r="EL18" s="152">
        <f t="shared" si="24"/>
        <v>0</v>
      </c>
      <c r="EM18" s="152">
        <f t="shared" si="24"/>
        <v>0</v>
      </c>
      <c r="EN18" s="152">
        <f t="shared" si="24"/>
        <v>0</v>
      </c>
      <c r="EO18" s="152">
        <f t="shared" si="24"/>
        <v>0</v>
      </c>
      <c r="EP18" s="152">
        <f t="shared" si="24"/>
        <v>0</v>
      </c>
      <c r="EQ18" s="152">
        <f t="shared" si="24"/>
        <v>0</v>
      </c>
      <c r="ER18" s="152">
        <f t="shared" si="24"/>
        <v>0</v>
      </c>
      <c r="ES18" s="152">
        <f t="shared" si="24"/>
        <v>0</v>
      </c>
      <c r="ET18" s="152">
        <f t="shared" si="24"/>
        <v>0</v>
      </c>
      <c r="EU18" s="8">
        <f t="shared" si="25"/>
        <v>0</v>
      </c>
      <c r="EV18" s="154">
        <f t="shared" si="26"/>
        <v>0</v>
      </c>
      <c r="EW18" s="154">
        <f t="shared" si="26"/>
        <v>0</v>
      </c>
      <c r="EX18" s="154">
        <f t="shared" si="26"/>
        <v>0</v>
      </c>
      <c r="EY18" s="154">
        <f t="shared" si="26"/>
        <v>0</v>
      </c>
      <c r="EZ18" s="154">
        <f t="shared" si="26"/>
        <v>0</v>
      </c>
      <c r="FA18" s="154">
        <f t="shared" si="26"/>
        <v>0</v>
      </c>
      <c r="FB18" s="154">
        <f t="shared" si="26"/>
        <v>0</v>
      </c>
      <c r="FC18" s="154">
        <f t="shared" si="26"/>
        <v>0</v>
      </c>
      <c r="FD18" s="154">
        <f t="shared" si="26"/>
        <v>0</v>
      </c>
      <c r="FF18" s="154"/>
      <c r="FG18" s="154"/>
      <c r="FH18" s="127"/>
      <c r="FI18" s="127"/>
      <c r="FJ18" s="127"/>
      <c r="FK18" s="127"/>
      <c r="FL18" s="127">
        <f t="shared" si="32"/>
        <v>0.15000000000000002</v>
      </c>
      <c r="FM18" s="127">
        <f t="shared" si="31"/>
        <v>0.22999999999999995</v>
      </c>
      <c r="FN18" s="127">
        <f t="shared" si="31"/>
        <v>0.23854773928283424</v>
      </c>
      <c r="FO18" s="127">
        <f t="shared" si="31"/>
        <v>0.23847945412961566</v>
      </c>
      <c r="FQ18" s="20">
        <f t="shared" si="27"/>
        <v>0</v>
      </c>
      <c r="FR18" s="20">
        <f t="shared" si="27"/>
        <v>0</v>
      </c>
      <c r="FS18" s="128">
        <f t="shared" si="27"/>
        <v>0</v>
      </c>
      <c r="FT18" s="128">
        <f t="shared" si="27"/>
        <v>0</v>
      </c>
      <c r="FU18" s="128">
        <f t="shared" si="27"/>
        <v>0</v>
      </c>
      <c r="FV18" s="128">
        <f t="shared" si="27"/>
        <v>0</v>
      </c>
      <c r="FW18" s="128">
        <f t="shared" si="27"/>
        <v>0</v>
      </c>
      <c r="FX18" s="128">
        <f t="shared" si="27"/>
        <v>0</v>
      </c>
      <c r="FY18" s="128">
        <f t="shared" si="27"/>
        <v>0</v>
      </c>
      <c r="FZ18" s="128">
        <f t="shared" si="27"/>
        <v>0</v>
      </c>
      <c r="GA18" s="8">
        <f t="shared" si="28"/>
        <v>0</v>
      </c>
    </row>
    <row r="19" spans="2:183" ht="13.5">
      <c r="B19" s="19" t="s">
        <v>175</v>
      </c>
      <c r="C19" s="124" t="s">
        <v>172</v>
      </c>
      <c r="D19" s="19" t="s">
        <v>170</v>
      </c>
      <c r="E19" s="153">
        <v>0.88</v>
      </c>
      <c r="F19" s="170">
        <v>0.5</v>
      </c>
      <c r="G19" s="151">
        <v>1</v>
      </c>
      <c r="H19" s="19" t="s">
        <v>157</v>
      </c>
      <c r="J19" s="152">
        <v>0</v>
      </c>
      <c r="K19" s="152">
        <v>0</v>
      </c>
      <c r="L19" s="152">
        <v>0</v>
      </c>
      <c r="M19" s="152">
        <v>0</v>
      </c>
      <c r="N19" s="152">
        <v>0</v>
      </c>
      <c r="O19" s="152">
        <v>0</v>
      </c>
      <c r="P19" s="152">
        <v>0</v>
      </c>
      <c r="Q19" s="152">
        <v>0</v>
      </c>
      <c r="R19" s="152">
        <v>0</v>
      </c>
      <c r="S19" s="152">
        <v>0</v>
      </c>
      <c r="U19" s="152"/>
      <c r="V19" s="152"/>
      <c r="W19" s="125"/>
      <c r="X19" s="125"/>
      <c r="Y19" s="125"/>
      <c r="Z19" s="125"/>
      <c r="AA19" s="125"/>
      <c r="AB19" s="125"/>
      <c r="AC19" s="125">
        <v>52</v>
      </c>
      <c r="AD19" s="125">
        <f t="shared" si="29"/>
        <v>52</v>
      </c>
      <c r="AF19" s="165"/>
      <c r="AG19" s="165"/>
      <c r="AH19" s="165"/>
      <c r="AI19" s="165"/>
      <c r="AJ19" s="165"/>
      <c r="AK19" s="165"/>
      <c r="AL19" s="165">
        <v>1</v>
      </c>
      <c r="AM19" s="165">
        <v>1</v>
      </c>
      <c r="AN19" s="165">
        <v>1</v>
      </c>
      <c r="AO19" s="165">
        <f t="shared" si="16"/>
        <v>1</v>
      </c>
      <c r="AQ19" s="152"/>
      <c r="AR19" s="152"/>
      <c r="AS19" s="152"/>
      <c r="AT19" s="152"/>
      <c r="AU19" s="152"/>
      <c r="AV19" s="152"/>
      <c r="AW19" s="152">
        <v>0</v>
      </c>
      <c r="AX19" s="152">
        <v>0</v>
      </c>
      <c r="AY19" s="152">
        <v>89.1</v>
      </c>
      <c r="AZ19" s="152">
        <f t="shared" si="17"/>
        <v>89.1</v>
      </c>
      <c r="BB19" s="152"/>
      <c r="BC19" s="152"/>
      <c r="BD19" s="152"/>
      <c r="BE19" s="152"/>
      <c r="BF19" s="152"/>
      <c r="BG19" s="152"/>
      <c r="BH19" s="152">
        <v>0</v>
      </c>
      <c r="BI19" s="152">
        <v>0</v>
      </c>
      <c r="BJ19" s="152">
        <v>3</v>
      </c>
      <c r="BK19" s="152">
        <f t="shared" si="18"/>
        <v>3</v>
      </c>
      <c r="BM19" s="152">
        <f t="shared" si="19"/>
        <v>0</v>
      </c>
      <c r="BN19" s="152">
        <f t="shared" si="19"/>
        <v>0</v>
      </c>
      <c r="BO19" s="152">
        <f t="shared" si="19"/>
        <v>0</v>
      </c>
      <c r="BP19" s="152">
        <f t="shared" si="19"/>
        <v>0</v>
      </c>
      <c r="BQ19" s="152">
        <f t="shared" si="19"/>
        <v>0</v>
      </c>
      <c r="BR19" s="152">
        <f t="shared" si="19"/>
        <v>0</v>
      </c>
      <c r="BS19" s="152">
        <f t="shared" si="19"/>
        <v>0</v>
      </c>
      <c r="BT19" s="152">
        <f t="shared" si="19"/>
        <v>0</v>
      </c>
      <c r="BU19" s="152">
        <f t="shared" si="19"/>
        <v>0</v>
      </c>
      <c r="BV19" s="152">
        <f t="shared" si="19"/>
        <v>0</v>
      </c>
      <c r="BX19" s="160"/>
      <c r="BY19" s="159"/>
      <c r="BZ19" s="159"/>
      <c r="CA19" s="159"/>
      <c r="CB19" s="159"/>
      <c r="CC19" s="159"/>
      <c r="CD19" s="159">
        <v>26.522500000000004</v>
      </c>
      <c r="CE19" s="159">
        <v>27.318175000000007</v>
      </c>
      <c r="CF19" s="159">
        <f t="shared" si="30"/>
        <v>28.137720250000008</v>
      </c>
      <c r="CG19" s="159">
        <f t="shared" si="20"/>
        <v>28.981851857500008</v>
      </c>
      <c r="CI19" s="128">
        <f t="shared" si="21"/>
        <v>0</v>
      </c>
      <c r="CJ19" s="128">
        <f t="shared" si="21"/>
        <v>0</v>
      </c>
      <c r="CK19" s="161">
        <f t="shared" si="21"/>
        <v>0</v>
      </c>
      <c r="CL19" s="161">
        <f t="shared" si="21"/>
        <v>0</v>
      </c>
      <c r="CM19" s="161">
        <f t="shared" si="21"/>
        <v>0</v>
      </c>
      <c r="CN19" s="278">
        <f t="shared" si="21"/>
        <v>0</v>
      </c>
      <c r="CO19" s="278">
        <f t="shared" si="21"/>
        <v>0</v>
      </c>
      <c r="CP19" s="278">
        <f t="shared" si="21"/>
        <v>0</v>
      </c>
      <c r="CQ19" s="278">
        <f t="shared" si="21"/>
        <v>0</v>
      </c>
      <c r="CR19" s="278">
        <f t="shared" si="21"/>
        <v>0</v>
      </c>
      <c r="CT19" s="25">
        <v>0.3</v>
      </c>
      <c r="CU19" s="168">
        <v>0.3</v>
      </c>
      <c r="CV19" s="168">
        <v>0.3</v>
      </c>
      <c r="CW19" s="168">
        <v>0.3</v>
      </c>
      <c r="CX19" s="168">
        <v>0.3</v>
      </c>
      <c r="CY19" s="168">
        <v>0.3</v>
      </c>
      <c r="CZ19" s="168">
        <v>0.3</v>
      </c>
      <c r="DA19" s="168">
        <v>0.3</v>
      </c>
      <c r="DB19" s="168">
        <v>0.3</v>
      </c>
      <c r="DC19" s="168">
        <v>0.3</v>
      </c>
      <c r="DE19" s="20">
        <f t="shared" si="22"/>
        <v>0</v>
      </c>
      <c r="DF19" s="20">
        <f t="shared" si="22"/>
        <v>0</v>
      </c>
      <c r="DG19" s="20">
        <f t="shared" si="22"/>
        <v>0</v>
      </c>
      <c r="DH19" s="20">
        <f t="shared" si="22"/>
        <v>0</v>
      </c>
      <c r="DI19" s="20">
        <f t="shared" si="22"/>
        <v>0</v>
      </c>
      <c r="DJ19" s="20">
        <f t="shared" si="22"/>
        <v>0</v>
      </c>
      <c r="DK19" s="20">
        <f t="shared" si="22"/>
        <v>0</v>
      </c>
      <c r="DL19" s="20">
        <f t="shared" si="22"/>
        <v>0</v>
      </c>
      <c r="DM19" s="20">
        <f t="shared" si="22"/>
        <v>0</v>
      </c>
      <c r="DN19" s="20">
        <f t="shared" si="22"/>
        <v>0</v>
      </c>
      <c r="DP19" s="20"/>
      <c r="DQ19" s="20"/>
      <c r="DR19" s="20"/>
      <c r="DS19" s="20"/>
      <c r="DT19" s="20"/>
      <c r="DU19" s="20"/>
      <c r="DV19" s="20"/>
      <c r="DW19" s="20"/>
      <c r="DX19" s="20"/>
      <c r="DY19" s="20"/>
      <c r="EA19" s="20">
        <f t="shared" si="23"/>
        <v>0</v>
      </c>
      <c r="EB19" s="20">
        <f t="shared" si="23"/>
        <v>0</v>
      </c>
      <c r="EC19" s="20">
        <f t="shared" si="23"/>
        <v>0</v>
      </c>
      <c r="ED19" s="20">
        <f t="shared" si="23"/>
        <v>0</v>
      </c>
      <c r="EE19" s="20">
        <f t="shared" si="23"/>
        <v>0</v>
      </c>
      <c r="EF19" s="20">
        <f t="shared" si="23"/>
        <v>0</v>
      </c>
      <c r="EG19" s="20">
        <f t="shared" si="23"/>
        <v>0</v>
      </c>
      <c r="EH19" s="20">
        <f t="shared" si="23"/>
        <v>0</v>
      </c>
      <c r="EI19" s="20">
        <f t="shared" si="23"/>
        <v>0</v>
      </c>
      <c r="EJ19" s="20">
        <f t="shared" si="23"/>
        <v>0</v>
      </c>
      <c r="EK19" s="8">
        <f t="shared" si="23"/>
        <v>0</v>
      </c>
      <c r="EL19" s="152">
        <f t="shared" si="24"/>
        <v>0</v>
      </c>
      <c r="EM19" s="152">
        <f t="shared" si="24"/>
        <v>0</v>
      </c>
      <c r="EN19" s="152">
        <f t="shared" si="24"/>
        <v>0</v>
      </c>
      <c r="EO19" s="152">
        <f t="shared" si="24"/>
        <v>0</v>
      </c>
      <c r="EP19" s="152">
        <f t="shared" si="24"/>
        <v>0</v>
      </c>
      <c r="EQ19" s="152">
        <f t="shared" si="24"/>
        <v>0</v>
      </c>
      <c r="ER19" s="152">
        <f t="shared" si="24"/>
        <v>0</v>
      </c>
      <c r="ES19" s="152">
        <f t="shared" si="24"/>
        <v>0</v>
      </c>
      <c r="ET19" s="152">
        <f t="shared" si="24"/>
        <v>0</v>
      </c>
      <c r="EU19" s="8">
        <f t="shared" si="25"/>
        <v>0</v>
      </c>
      <c r="EV19" s="154">
        <f t="shared" si="26"/>
        <v>0</v>
      </c>
      <c r="EW19" s="154">
        <f t="shared" si="26"/>
        <v>0</v>
      </c>
      <c r="EX19" s="154">
        <f t="shared" si="26"/>
        <v>0</v>
      </c>
      <c r="EY19" s="154">
        <f t="shared" si="26"/>
        <v>0</v>
      </c>
      <c r="EZ19" s="154">
        <f t="shared" si="26"/>
        <v>0</v>
      </c>
      <c r="FA19" s="154">
        <f t="shared" si="26"/>
        <v>0</v>
      </c>
      <c r="FB19" s="154">
        <f t="shared" si="26"/>
        <v>0</v>
      </c>
      <c r="FC19" s="154">
        <f t="shared" si="26"/>
        <v>0</v>
      </c>
      <c r="FD19" s="154">
        <f t="shared" si="26"/>
        <v>0</v>
      </c>
      <c r="FF19" s="154"/>
      <c r="FG19" s="154"/>
      <c r="FH19" s="127"/>
      <c r="FI19" s="127"/>
      <c r="FJ19" s="127"/>
      <c r="FK19" s="127"/>
      <c r="FL19" s="127">
        <f t="shared" si="32"/>
        <v>0.15000000000000002</v>
      </c>
      <c r="FM19" s="127">
        <f t="shared" si="31"/>
        <v>0.22999999999999995</v>
      </c>
      <c r="FN19" s="127">
        <f t="shared" si="31"/>
        <v>0.23854773928283424</v>
      </c>
      <c r="FO19" s="127">
        <f t="shared" si="31"/>
        <v>0.23847945412961566</v>
      </c>
      <c r="FQ19" s="20">
        <f t="shared" si="27"/>
        <v>0</v>
      </c>
      <c r="FR19" s="20">
        <f t="shared" si="27"/>
        <v>0</v>
      </c>
      <c r="FS19" s="128">
        <f t="shared" si="27"/>
        <v>0</v>
      </c>
      <c r="FT19" s="128">
        <f t="shared" si="27"/>
        <v>0</v>
      </c>
      <c r="FU19" s="128">
        <f t="shared" si="27"/>
        <v>0</v>
      </c>
      <c r="FV19" s="128">
        <f t="shared" si="27"/>
        <v>0</v>
      </c>
      <c r="FW19" s="128">
        <f t="shared" si="27"/>
        <v>0</v>
      </c>
      <c r="FX19" s="128">
        <f t="shared" si="27"/>
        <v>0</v>
      </c>
      <c r="FY19" s="128">
        <f t="shared" si="27"/>
        <v>0</v>
      </c>
      <c r="FZ19" s="128">
        <f t="shared" si="27"/>
        <v>0</v>
      </c>
      <c r="GA19" s="8">
        <f t="shared" si="28"/>
        <v>0</v>
      </c>
    </row>
    <row r="20" spans="2:183" ht="13.5">
      <c r="B20" s="19" t="s">
        <v>175</v>
      </c>
      <c r="C20" s="124" t="s">
        <v>173</v>
      </c>
      <c r="D20" s="19" t="s">
        <v>121</v>
      </c>
      <c r="E20" s="151">
        <v>0.02</v>
      </c>
      <c r="F20" s="170">
        <v>0.25110000000000005</v>
      </c>
      <c r="G20" s="151">
        <v>1</v>
      </c>
      <c r="H20" s="124" t="s">
        <v>176</v>
      </c>
      <c r="J20" s="152">
        <v>0</v>
      </c>
      <c r="K20" s="152">
        <v>0</v>
      </c>
      <c r="L20" s="152">
        <v>0</v>
      </c>
      <c r="M20" s="152">
        <v>0</v>
      </c>
      <c r="N20" s="152">
        <v>0</v>
      </c>
      <c r="O20" s="152">
        <v>0</v>
      </c>
      <c r="P20" s="152">
        <v>0</v>
      </c>
      <c r="Q20" s="152">
        <v>0</v>
      </c>
      <c r="R20" s="152">
        <v>0</v>
      </c>
      <c r="S20" s="152">
        <v>0</v>
      </c>
      <c r="U20" s="152"/>
      <c r="V20" s="152"/>
      <c r="W20" s="125"/>
      <c r="X20" s="125"/>
      <c r="Y20" s="125"/>
      <c r="Z20" s="125"/>
      <c r="AA20" s="125"/>
      <c r="AB20" s="125">
        <v>39</v>
      </c>
      <c r="AC20" s="125">
        <v>52</v>
      </c>
      <c r="AD20" s="125">
        <f t="shared" si="29"/>
        <v>52</v>
      </c>
      <c r="AF20" s="165"/>
      <c r="AG20" s="165"/>
      <c r="AH20" s="165"/>
      <c r="AI20" s="165"/>
      <c r="AJ20" s="165"/>
      <c r="AK20" s="165"/>
      <c r="AL20" s="165">
        <v>0.75</v>
      </c>
      <c r="AM20" s="165">
        <v>0.75</v>
      </c>
      <c r="AN20" s="165">
        <v>0.75</v>
      </c>
      <c r="AO20" s="165">
        <f t="shared" si="16"/>
        <v>0.75</v>
      </c>
      <c r="AQ20" s="152"/>
      <c r="AR20" s="152"/>
      <c r="AS20" s="152"/>
      <c r="AT20" s="152"/>
      <c r="AU20" s="152"/>
      <c r="AV20" s="152"/>
      <c r="AW20" s="152">
        <v>0</v>
      </c>
      <c r="AX20" s="152">
        <v>220.00000000000003</v>
      </c>
      <c r="AY20" s="152">
        <v>320</v>
      </c>
      <c r="AZ20" s="152">
        <f t="shared" si="17"/>
        <v>320</v>
      </c>
      <c r="BB20" s="152"/>
      <c r="BC20" s="152"/>
      <c r="BD20" s="152"/>
      <c r="BE20" s="152"/>
      <c r="BF20" s="152"/>
      <c r="BG20" s="152"/>
      <c r="BH20" s="152">
        <v>0</v>
      </c>
      <c r="BI20" s="152">
        <v>6</v>
      </c>
      <c r="BJ20" s="152">
        <v>10</v>
      </c>
      <c r="BK20" s="152">
        <f t="shared" si="18"/>
        <v>10</v>
      </c>
      <c r="BM20" s="152">
        <f t="shared" si="19"/>
        <v>0</v>
      </c>
      <c r="BN20" s="152">
        <f t="shared" si="19"/>
        <v>0</v>
      </c>
      <c r="BO20" s="152">
        <f t="shared" si="19"/>
        <v>0</v>
      </c>
      <c r="BP20" s="152">
        <f t="shared" si="19"/>
        <v>0</v>
      </c>
      <c r="BQ20" s="152">
        <f t="shared" si="19"/>
        <v>0</v>
      </c>
      <c r="BR20" s="152">
        <f t="shared" si="19"/>
        <v>0</v>
      </c>
      <c r="BS20" s="152">
        <f t="shared" si="19"/>
        <v>0</v>
      </c>
      <c r="BT20" s="152">
        <f t="shared" si="19"/>
        <v>0</v>
      </c>
      <c r="BU20" s="152">
        <f t="shared" si="19"/>
        <v>0</v>
      </c>
      <c r="BV20" s="152">
        <f t="shared" si="19"/>
        <v>0</v>
      </c>
      <c r="BX20" s="160"/>
      <c r="BY20" s="159"/>
      <c r="BZ20" s="159"/>
      <c r="CA20" s="159"/>
      <c r="CB20" s="159"/>
      <c r="CC20" s="159"/>
      <c r="CD20" s="159">
        <v>3.6073915312499998</v>
      </c>
      <c r="CE20" s="159">
        <v>3.7156132771874999</v>
      </c>
      <c r="CF20" s="159">
        <f t="shared" si="30"/>
        <v>3.8270816755031252</v>
      </c>
      <c r="CG20" s="159">
        <f t="shared" si="20"/>
        <v>3.941894125768219</v>
      </c>
      <c r="CI20" s="128">
        <f t="shared" si="21"/>
        <v>0</v>
      </c>
      <c r="CJ20" s="128">
        <f t="shared" si="21"/>
        <v>0</v>
      </c>
      <c r="CK20" s="161">
        <f t="shared" si="21"/>
        <v>0</v>
      </c>
      <c r="CL20" s="161">
        <f t="shared" si="21"/>
        <v>0</v>
      </c>
      <c r="CM20" s="161">
        <f t="shared" si="21"/>
        <v>0</v>
      </c>
      <c r="CN20" s="278">
        <f t="shared" si="21"/>
        <v>0</v>
      </c>
      <c r="CO20" s="278">
        <f t="shared" si="21"/>
        <v>0</v>
      </c>
      <c r="CP20" s="278">
        <f t="shared" si="21"/>
        <v>0</v>
      </c>
      <c r="CQ20" s="278">
        <f t="shared" si="21"/>
        <v>0</v>
      </c>
      <c r="CR20" s="278">
        <f t="shared" si="21"/>
        <v>0</v>
      </c>
      <c r="CT20" s="25">
        <v>0.3</v>
      </c>
      <c r="CU20" s="168">
        <v>0.3</v>
      </c>
      <c r="CV20" s="168">
        <v>0.3</v>
      </c>
      <c r="CW20" s="168">
        <v>0.3</v>
      </c>
      <c r="CX20" s="168">
        <v>0.3</v>
      </c>
      <c r="CY20" s="168">
        <v>0.3</v>
      </c>
      <c r="CZ20" s="168">
        <v>0.3</v>
      </c>
      <c r="DA20" s="168">
        <v>0.3</v>
      </c>
      <c r="DB20" s="168">
        <v>0.3</v>
      </c>
      <c r="DC20" s="168">
        <v>0.3</v>
      </c>
      <c r="DE20" s="20">
        <f t="shared" si="22"/>
        <v>0</v>
      </c>
      <c r="DF20" s="20">
        <f t="shared" si="22"/>
        <v>0</v>
      </c>
      <c r="DG20" s="20">
        <f t="shared" si="22"/>
        <v>0</v>
      </c>
      <c r="DH20" s="20">
        <f t="shared" si="22"/>
        <v>0</v>
      </c>
      <c r="DI20" s="20">
        <f t="shared" si="22"/>
        <v>0</v>
      </c>
      <c r="DJ20" s="20">
        <f t="shared" si="22"/>
        <v>0</v>
      </c>
      <c r="DK20" s="20">
        <f t="shared" si="22"/>
        <v>0</v>
      </c>
      <c r="DL20" s="20">
        <f t="shared" si="22"/>
        <v>0</v>
      </c>
      <c r="DM20" s="20">
        <f t="shared" si="22"/>
        <v>0</v>
      </c>
      <c r="DN20" s="20">
        <f t="shared" si="22"/>
        <v>0</v>
      </c>
      <c r="DP20" s="20"/>
      <c r="DQ20" s="20"/>
      <c r="DR20" s="20"/>
      <c r="DS20" s="20"/>
      <c r="DT20" s="20"/>
      <c r="DU20" s="20"/>
      <c r="DV20" s="20"/>
      <c r="DW20" s="20"/>
      <c r="DX20" s="20"/>
      <c r="DY20" s="20"/>
      <c r="EA20" s="20">
        <f t="shared" si="23"/>
        <v>0</v>
      </c>
      <c r="EB20" s="20">
        <f t="shared" si="23"/>
        <v>0</v>
      </c>
      <c r="EC20" s="20">
        <f t="shared" si="23"/>
        <v>0</v>
      </c>
      <c r="ED20" s="20">
        <f t="shared" si="23"/>
        <v>0</v>
      </c>
      <c r="EE20" s="20">
        <f t="shared" si="23"/>
        <v>0</v>
      </c>
      <c r="EF20" s="20">
        <f t="shared" si="23"/>
        <v>0</v>
      </c>
      <c r="EG20" s="20">
        <f t="shared" si="23"/>
        <v>0</v>
      </c>
      <c r="EH20" s="20">
        <f t="shared" si="23"/>
        <v>0</v>
      </c>
      <c r="EI20" s="20">
        <f t="shared" si="23"/>
        <v>0</v>
      </c>
      <c r="EJ20" s="20">
        <f t="shared" si="23"/>
        <v>0</v>
      </c>
      <c r="EK20" s="8">
        <f t="shared" si="23"/>
        <v>0</v>
      </c>
      <c r="EL20" s="152">
        <f t="shared" si="24"/>
        <v>0</v>
      </c>
      <c r="EM20" s="152">
        <f t="shared" si="24"/>
        <v>0</v>
      </c>
      <c r="EN20" s="152">
        <f t="shared" si="24"/>
        <v>0</v>
      </c>
      <c r="EO20" s="152">
        <f t="shared" si="24"/>
        <v>0</v>
      </c>
      <c r="EP20" s="152">
        <f t="shared" si="24"/>
        <v>0</v>
      </c>
      <c r="EQ20" s="152">
        <f t="shared" si="24"/>
        <v>0</v>
      </c>
      <c r="ER20" s="152">
        <f t="shared" si="24"/>
        <v>0</v>
      </c>
      <c r="ES20" s="152">
        <f t="shared" si="24"/>
        <v>0</v>
      </c>
      <c r="ET20" s="152">
        <f t="shared" si="24"/>
        <v>0</v>
      </c>
      <c r="EU20" s="8">
        <f t="shared" si="25"/>
        <v>0</v>
      </c>
      <c r="EV20" s="154">
        <f t="shared" si="26"/>
        <v>0</v>
      </c>
      <c r="EW20" s="154">
        <f t="shared" si="26"/>
        <v>0</v>
      </c>
      <c r="EX20" s="154">
        <f t="shared" si="26"/>
        <v>0</v>
      </c>
      <c r="EY20" s="154">
        <f t="shared" si="26"/>
        <v>0</v>
      </c>
      <c r="EZ20" s="154">
        <f t="shared" si="26"/>
        <v>0</v>
      </c>
      <c r="FA20" s="154">
        <f t="shared" si="26"/>
        <v>0</v>
      </c>
      <c r="FB20" s="154">
        <f t="shared" si="26"/>
        <v>0</v>
      </c>
      <c r="FC20" s="154">
        <f t="shared" si="26"/>
        <v>0</v>
      </c>
      <c r="FD20" s="154">
        <f t="shared" si="26"/>
        <v>0</v>
      </c>
      <c r="FF20" s="154"/>
      <c r="FG20" s="154"/>
      <c r="FH20" s="127"/>
      <c r="FI20" s="127"/>
      <c r="FJ20" s="127"/>
      <c r="FK20" s="127"/>
      <c r="FL20" s="127">
        <f t="shared" si="32"/>
        <v>0.15000000000000002</v>
      </c>
      <c r="FM20" s="127">
        <f t="shared" si="31"/>
        <v>0.22999999999999995</v>
      </c>
      <c r="FN20" s="127">
        <f t="shared" si="31"/>
        <v>0.23854773928283424</v>
      </c>
      <c r="FO20" s="127">
        <f t="shared" si="31"/>
        <v>0.23847945412961566</v>
      </c>
      <c r="FQ20" s="20">
        <f t="shared" si="27"/>
        <v>0</v>
      </c>
      <c r="FR20" s="20">
        <f t="shared" si="27"/>
        <v>0</v>
      </c>
      <c r="FS20" s="128">
        <f t="shared" si="27"/>
        <v>0</v>
      </c>
      <c r="FT20" s="128">
        <f t="shared" si="27"/>
        <v>0</v>
      </c>
      <c r="FU20" s="128">
        <f t="shared" si="27"/>
        <v>0</v>
      </c>
      <c r="FV20" s="128">
        <f t="shared" si="27"/>
        <v>0</v>
      </c>
      <c r="FW20" s="128">
        <f t="shared" si="27"/>
        <v>0</v>
      </c>
      <c r="FX20" s="128">
        <f t="shared" si="27"/>
        <v>0</v>
      </c>
      <c r="FY20" s="128">
        <f t="shared" si="27"/>
        <v>0</v>
      </c>
      <c r="FZ20" s="128">
        <f t="shared" si="27"/>
        <v>0</v>
      </c>
      <c r="GA20" s="8">
        <f t="shared" si="28"/>
        <v>0</v>
      </c>
    </row>
    <row r="21" spans="2:183" ht="13.5">
      <c r="B21" s="19" t="s">
        <v>175</v>
      </c>
      <c r="C21" s="124" t="s">
        <v>173</v>
      </c>
      <c r="D21" s="19" t="s">
        <v>129</v>
      </c>
      <c r="E21" s="151">
        <v>0.02</v>
      </c>
      <c r="F21" s="170">
        <v>1</v>
      </c>
      <c r="G21" s="151">
        <v>1</v>
      </c>
      <c r="H21" s="124" t="s">
        <v>177</v>
      </c>
      <c r="J21" s="125">
        <v>0</v>
      </c>
      <c r="K21" s="125">
        <v>0</v>
      </c>
      <c r="L21" s="125">
        <v>0</v>
      </c>
      <c r="M21" s="125">
        <v>0</v>
      </c>
      <c r="N21" s="125">
        <v>0</v>
      </c>
      <c r="O21" s="125">
        <v>0</v>
      </c>
      <c r="P21" s="125">
        <v>0</v>
      </c>
      <c r="Q21" s="125">
        <v>0</v>
      </c>
      <c r="R21" s="125">
        <v>0</v>
      </c>
      <c r="S21" s="125">
        <v>0</v>
      </c>
      <c r="U21" s="125"/>
      <c r="V21" s="125"/>
      <c r="W21" s="125"/>
      <c r="X21" s="125"/>
      <c r="Y21" s="125"/>
      <c r="Z21" s="125"/>
      <c r="AA21" s="125"/>
      <c r="AB21" s="125">
        <v>26</v>
      </c>
      <c r="AC21" s="125">
        <v>52</v>
      </c>
      <c r="AD21" s="125">
        <f t="shared" si="29"/>
        <v>52</v>
      </c>
      <c r="AF21" s="165"/>
      <c r="AG21" s="165"/>
      <c r="AH21" s="165"/>
      <c r="AI21" s="165"/>
      <c r="AJ21" s="165"/>
      <c r="AK21" s="165"/>
      <c r="AL21" s="165">
        <v>0.9</v>
      </c>
      <c r="AM21" s="165">
        <v>0.9</v>
      </c>
      <c r="AN21" s="165">
        <v>0.9</v>
      </c>
      <c r="AO21" s="165">
        <f t="shared" si="16"/>
        <v>0.9</v>
      </c>
      <c r="AQ21" s="152"/>
      <c r="AR21" s="152"/>
      <c r="AS21" s="152"/>
      <c r="AT21" s="152"/>
      <c r="AU21" s="152"/>
      <c r="AV21" s="152"/>
      <c r="AW21" s="152">
        <v>0</v>
      </c>
      <c r="AX21" s="152">
        <v>220.00000000000003</v>
      </c>
      <c r="AY21" s="152">
        <v>320</v>
      </c>
      <c r="AZ21" s="152">
        <f t="shared" si="17"/>
        <v>320</v>
      </c>
      <c r="BB21" s="152"/>
      <c r="BC21" s="152"/>
      <c r="BD21" s="152"/>
      <c r="BE21" s="152"/>
      <c r="BF21" s="152"/>
      <c r="BG21" s="152"/>
      <c r="BH21" s="152">
        <v>0</v>
      </c>
      <c r="BI21" s="152">
        <v>1</v>
      </c>
      <c r="BJ21" s="152">
        <v>3</v>
      </c>
      <c r="BK21" s="152">
        <f t="shared" si="18"/>
        <v>3</v>
      </c>
      <c r="BM21" s="125">
        <f t="shared" si="19"/>
        <v>0</v>
      </c>
      <c r="BN21" s="125">
        <f t="shared" si="19"/>
        <v>0</v>
      </c>
      <c r="BO21" s="125">
        <f t="shared" si="19"/>
        <v>0</v>
      </c>
      <c r="BP21" s="125">
        <f t="shared" si="19"/>
        <v>0</v>
      </c>
      <c r="BQ21" s="125">
        <f t="shared" si="19"/>
        <v>0</v>
      </c>
      <c r="BR21" s="125">
        <f t="shared" si="19"/>
        <v>0</v>
      </c>
      <c r="BS21" s="125">
        <f t="shared" si="19"/>
        <v>0</v>
      </c>
      <c r="BT21" s="125">
        <f t="shared" si="19"/>
        <v>0</v>
      </c>
      <c r="BU21" s="125">
        <f t="shared" si="19"/>
        <v>0</v>
      </c>
      <c r="BV21" s="125">
        <f t="shared" si="19"/>
        <v>0</v>
      </c>
      <c r="BX21" s="160"/>
      <c r="BY21" s="159"/>
      <c r="BZ21" s="159"/>
      <c r="CA21" s="159"/>
      <c r="CB21" s="159"/>
      <c r="CC21" s="159"/>
      <c r="CD21" s="159">
        <v>1.9860048000000001</v>
      </c>
      <c r="CE21" s="159">
        <v>2.0455849440000002</v>
      </c>
      <c r="CF21" s="159">
        <f t="shared" si="30"/>
        <v>2.1069524923200005</v>
      </c>
      <c r="CG21" s="159">
        <f t="shared" si="20"/>
        <v>2.1701610670896008</v>
      </c>
      <c r="CI21" s="128">
        <f t="shared" si="21"/>
        <v>0</v>
      </c>
      <c r="CJ21" s="128">
        <f t="shared" si="21"/>
        <v>0</v>
      </c>
      <c r="CK21" s="161">
        <f t="shared" si="21"/>
        <v>0</v>
      </c>
      <c r="CL21" s="161">
        <f t="shared" si="21"/>
        <v>0</v>
      </c>
      <c r="CM21" s="161">
        <f t="shared" si="21"/>
        <v>0</v>
      </c>
      <c r="CN21" s="278">
        <f t="shared" si="21"/>
        <v>0</v>
      </c>
      <c r="CO21" s="278">
        <f t="shared" si="21"/>
        <v>0</v>
      </c>
      <c r="CP21" s="278">
        <f t="shared" si="21"/>
        <v>0</v>
      </c>
      <c r="CQ21" s="278">
        <f t="shared" si="21"/>
        <v>0</v>
      </c>
      <c r="CR21" s="278">
        <f t="shared" si="21"/>
        <v>0</v>
      </c>
      <c r="CT21" s="25">
        <v>0.3</v>
      </c>
      <c r="CU21" s="168">
        <v>0.3</v>
      </c>
      <c r="CV21" s="168">
        <v>0.3</v>
      </c>
      <c r="CW21" s="168">
        <v>0.3</v>
      </c>
      <c r="CX21" s="168">
        <v>0.3</v>
      </c>
      <c r="CY21" s="168">
        <v>0.3</v>
      </c>
      <c r="CZ21" s="168">
        <v>0.3</v>
      </c>
      <c r="DA21" s="168">
        <v>0.3</v>
      </c>
      <c r="DB21" s="168">
        <v>0.3</v>
      </c>
      <c r="DC21" s="168">
        <v>0.3</v>
      </c>
      <c r="DE21" s="20">
        <f t="shared" si="22"/>
        <v>0</v>
      </c>
      <c r="DF21" s="128">
        <f t="shared" si="22"/>
        <v>0</v>
      </c>
      <c r="DG21" s="20">
        <f t="shared" si="22"/>
        <v>0</v>
      </c>
      <c r="DH21" s="20">
        <f t="shared" si="22"/>
        <v>0</v>
      </c>
      <c r="DI21" s="20">
        <f t="shared" si="22"/>
        <v>0</v>
      </c>
      <c r="DJ21" s="20">
        <f t="shared" si="22"/>
        <v>0</v>
      </c>
      <c r="DK21" s="20">
        <f t="shared" si="22"/>
        <v>0</v>
      </c>
      <c r="DL21" s="20">
        <f t="shared" si="22"/>
        <v>0</v>
      </c>
      <c r="DM21" s="20">
        <f t="shared" si="22"/>
        <v>0</v>
      </c>
      <c r="DN21" s="20">
        <f t="shared" si="22"/>
        <v>0</v>
      </c>
      <c r="DP21" s="20"/>
      <c r="DQ21" s="20"/>
      <c r="DR21" s="20"/>
      <c r="DS21" s="20"/>
      <c r="DT21" s="20"/>
      <c r="DU21" s="20"/>
      <c r="DV21" s="20"/>
      <c r="DW21" s="20"/>
      <c r="DX21" s="20"/>
      <c r="DY21" s="20"/>
      <c r="EA21" s="20">
        <f t="shared" si="23"/>
        <v>0</v>
      </c>
      <c r="EB21" s="20">
        <f t="shared" si="23"/>
        <v>0</v>
      </c>
      <c r="EC21" s="20">
        <f t="shared" si="23"/>
        <v>0</v>
      </c>
      <c r="ED21" s="20">
        <f t="shared" si="23"/>
        <v>0</v>
      </c>
      <c r="EE21" s="20">
        <f t="shared" si="23"/>
        <v>0</v>
      </c>
      <c r="EF21" s="20">
        <f t="shared" si="23"/>
        <v>0</v>
      </c>
      <c r="EG21" s="20">
        <f t="shared" si="23"/>
        <v>0</v>
      </c>
      <c r="EH21" s="20">
        <f t="shared" si="23"/>
        <v>0</v>
      </c>
      <c r="EI21" s="20">
        <f t="shared" si="23"/>
        <v>0</v>
      </c>
      <c r="EJ21" s="20">
        <f t="shared" si="23"/>
        <v>0</v>
      </c>
      <c r="EK21" s="8">
        <f t="shared" si="23"/>
        <v>0</v>
      </c>
      <c r="EL21" s="171">
        <f t="shared" si="24"/>
        <v>0</v>
      </c>
      <c r="EM21" s="152">
        <f t="shared" si="24"/>
        <v>0</v>
      </c>
      <c r="EN21" s="152">
        <f t="shared" si="24"/>
        <v>0</v>
      </c>
      <c r="EO21" s="152">
        <f t="shared" si="24"/>
        <v>0</v>
      </c>
      <c r="EP21" s="152">
        <f t="shared" si="24"/>
        <v>0</v>
      </c>
      <c r="EQ21" s="152">
        <f t="shared" si="24"/>
        <v>0</v>
      </c>
      <c r="ER21" s="152">
        <f t="shared" si="24"/>
        <v>0</v>
      </c>
      <c r="ES21" s="152">
        <f t="shared" si="24"/>
        <v>0</v>
      </c>
      <c r="ET21" s="152">
        <f t="shared" si="24"/>
        <v>0</v>
      </c>
      <c r="EU21" s="8">
        <f t="shared" si="25"/>
        <v>0</v>
      </c>
      <c r="EV21" s="154">
        <f t="shared" si="26"/>
        <v>0</v>
      </c>
      <c r="EW21" s="154">
        <f t="shared" si="26"/>
        <v>0</v>
      </c>
      <c r="EX21" s="154">
        <f t="shared" si="26"/>
        <v>0</v>
      </c>
      <c r="EY21" s="154">
        <f t="shared" si="26"/>
        <v>0</v>
      </c>
      <c r="EZ21" s="154">
        <f t="shared" si="26"/>
        <v>0</v>
      </c>
      <c r="FA21" s="154">
        <f t="shared" si="26"/>
        <v>0</v>
      </c>
      <c r="FB21" s="154">
        <f t="shared" si="26"/>
        <v>0</v>
      </c>
      <c r="FC21" s="154">
        <f t="shared" si="26"/>
        <v>0</v>
      </c>
      <c r="FD21" s="154">
        <f t="shared" si="26"/>
        <v>0</v>
      </c>
      <c r="FF21" s="154"/>
      <c r="FG21" s="154"/>
      <c r="FH21" s="127"/>
      <c r="FI21" s="127"/>
      <c r="FJ21" s="127"/>
      <c r="FK21" s="127"/>
      <c r="FL21" s="127">
        <f t="shared" si="32"/>
        <v>0.15000000000000002</v>
      </c>
      <c r="FM21" s="127">
        <f t="shared" si="31"/>
        <v>0.22999999999999995</v>
      </c>
      <c r="FN21" s="127">
        <f t="shared" si="31"/>
        <v>0.23854773928283424</v>
      </c>
      <c r="FO21" s="127">
        <f t="shared" si="31"/>
        <v>0.23847945412961566</v>
      </c>
      <c r="FQ21" s="20">
        <f t="shared" si="27"/>
        <v>0</v>
      </c>
      <c r="FR21" s="20">
        <f t="shared" si="27"/>
        <v>0</v>
      </c>
      <c r="FS21" s="128">
        <f t="shared" si="27"/>
        <v>0</v>
      </c>
      <c r="FT21" s="128">
        <f t="shared" si="27"/>
        <v>0</v>
      </c>
      <c r="FU21" s="128">
        <f t="shared" si="27"/>
        <v>0</v>
      </c>
      <c r="FV21" s="128">
        <f t="shared" si="27"/>
        <v>0</v>
      </c>
      <c r="FW21" s="128">
        <f t="shared" si="27"/>
        <v>0</v>
      </c>
      <c r="FX21" s="128">
        <f t="shared" si="27"/>
        <v>0</v>
      </c>
      <c r="FY21" s="128">
        <f t="shared" si="27"/>
        <v>0</v>
      </c>
      <c r="FZ21" s="128">
        <f t="shared" si="27"/>
        <v>0</v>
      </c>
      <c r="GA21" s="8">
        <f t="shared" si="28"/>
        <v>0</v>
      </c>
    </row>
    <row r="22" spans="2:183" ht="13.5">
      <c r="B22" s="19" t="s">
        <v>175</v>
      </c>
      <c r="C22" s="124" t="s">
        <v>173</v>
      </c>
      <c r="D22" s="19" t="s">
        <v>167</v>
      </c>
      <c r="E22" s="151">
        <v>0.02</v>
      </c>
      <c r="F22" s="170">
        <v>0.5</v>
      </c>
      <c r="G22" s="151">
        <v>1</v>
      </c>
      <c r="H22" s="19" t="s">
        <v>157</v>
      </c>
      <c r="J22" s="152">
        <v>0</v>
      </c>
      <c r="K22" s="152">
        <v>0</v>
      </c>
      <c r="L22" s="152">
        <v>0</v>
      </c>
      <c r="M22" s="152">
        <v>0</v>
      </c>
      <c r="N22" s="152">
        <v>0</v>
      </c>
      <c r="O22" s="152">
        <v>0</v>
      </c>
      <c r="P22" s="152">
        <v>0</v>
      </c>
      <c r="Q22" s="152">
        <v>0</v>
      </c>
      <c r="R22" s="152">
        <v>0</v>
      </c>
      <c r="S22" s="152">
        <v>0</v>
      </c>
      <c r="U22" s="152"/>
      <c r="V22" s="152"/>
      <c r="W22" s="152"/>
      <c r="X22" s="152"/>
      <c r="Y22" s="152"/>
      <c r="Z22" s="152"/>
      <c r="AA22" s="152"/>
      <c r="AB22" s="152"/>
      <c r="AC22" s="152">
        <v>39</v>
      </c>
      <c r="AD22" s="152">
        <f t="shared" si="29"/>
        <v>52</v>
      </c>
      <c r="AF22" s="165"/>
      <c r="AG22" s="165"/>
      <c r="AH22" s="165"/>
      <c r="AI22" s="165"/>
      <c r="AJ22" s="165"/>
      <c r="AK22" s="165"/>
      <c r="AL22" s="165">
        <v>0.9</v>
      </c>
      <c r="AM22" s="165">
        <v>0.9</v>
      </c>
      <c r="AN22" s="165">
        <v>0.9</v>
      </c>
      <c r="AO22" s="165">
        <f t="shared" si="16"/>
        <v>0.9</v>
      </c>
      <c r="AQ22" s="152"/>
      <c r="AR22" s="152"/>
      <c r="AS22" s="152"/>
      <c r="AT22" s="152"/>
      <c r="AU22" s="152"/>
      <c r="AV22" s="152"/>
      <c r="AW22" s="152">
        <v>0</v>
      </c>
      <c r="AX22" s="152">
        <v>0</v>
      </c>
      <c r="AY22" s="152">
        <v>220.00000000000003</v>
      </c>
      <c r="AZ22" s="152">
        <f t="shared" si="17"/>
        <v>220.00000000000003</v>
      </c>
      <c r="BB22" s="152"/>
      <c r="BC22" s="152"/>
      <c r="BD22" s="152"/>
      <c r="BE22" s="152"/>
      <c r="BF22" s="152"/>
      <c r="BG22" s="152"/>
      <c r="BH22" s="152">
        <v>0</v>
      </c>
      <c r="BI22" s="152">
        <v>0</v>
      </c>
      <c r="BJ22" s="152">
        <v>1</v>
      </c>
      <c r="BK22" s="152">
        <f t="shared" si="18"/>
        <v>1</v>
      </c>
      <c r="BM22" s="152">
        <f t="shared" si="19"/>
        <v>0</v>
      </c>
      <c r="BN22" s="152">
        <f t="shared" si="19"/>
        <v>0</v>
      </c>
      <c r="BO22" s="152">
        <f t="shared" si="19"/>
        <v>0</v>
      </c>
      <c r="BP22" s="152">
        <f t="shared" si="19"/>
        <v>0</v>
      </c>
      <c r="BQ22" s="152">
        <f t="shared" si="19"/>
        <v>0</v>
      </c>
      <c r="BR22" s="152">
        <f t="shared" si="19"/>
        <v>0</v>
      </c>
      <c r="BS22" s="152">
        <f t="shared" si="19"/>
        <v>0</v>
      </c>
      <c r="BT22" s="152">
        <f t="shared" si="19"/>
        <v>0</v>
      </c>
      <c r="BU22" s="152">
        <f t="shared" si="19"/>
        <v>0</v>
      </c>
      <c r="BV22" s="152">
        <f t="shared" si="19"/>
        <v>0</v>
      </c>
      <c r="BX22" s="160"/>
      <c r="BY22" s="159"/>
      <c r="BZ22" s="159"/>
      <c r="CA22" s="159"/>
      <c r="CB22" s="159"/>
      <c r="CC22" s="159"/>
      <c r="CD22" s="159">
        <v>3.0514136249999999</v>
      </c>
      <c r="CE22" s="159">
        <v>3.1429560337500004</v>
      </c>
      <c r="CF22" s="159">
        <f t="shared" si="30"/>
        <v>3.2372447147625003</v>
      </c>
      <c r="CG22" s="159">
        <f t="shared" si="20"/>
        <v>3.3343620562053755</v>
      </c>
      <c r="CI22" s="128">
        <f t="shared" si="21"/>
        <v>0</v>
      </c>
      <c r="CJ22" s="128">
        <f t="shared" si="21"/>
        <v>0</v>
      </c>
      <c r="CK22" s="161">
        <f t="shared" si="21"/>
        <v>0</v>
      </c>
      <c r="CL22" s="161">
        <f t="shared" si="21"/>
        <v>0</v>
      </c>
      <c r="CM22" s="161">
        <f t="shared" si="21"/>
        <v>0</v>
      </c>
      <c r="CN22" s="278">
        <f t="shared" si="21"/>
        <v>0</v>
      </c>
      <c r="CO22" s="278">
        <f t="shared" si="21"/>
        <v>0</v>
      </c>
      <c r="CP22" s="278">
        <f t="shared" si="21"/>
        <v>0</v>
      </c>
      <c r="CQ22" s="278">
        <f t="shared" si="21"/>
        <v>0</v>
      </c>
      <c r="CR22" s="278">
        <f t="shared" si="21"/>
        <v>0</v>
      </c>
      <c r="CT22" s="25">
        <v>0.3</v>
      </c>
      <c r="CU22" s="168">
        <v>0.3</v>
      </c>
      <c r="CV22" s="168">
        <v>0.3</v>
      </c>
      <c r="CW22" s="168">
        <v>0.3</v>
      </c>
      <c r="CX22" s="168">
        <v>0.3</v>
      </c>
      <c r="CY22" s="168">
        <v>0.3</v>
      </c>
      <c r="CZ22" s="168">
        <v>0.3</v>
      </c>
      <c r="DA22" s="168">
        <v>0.3</v>
      </c>
      <c r="DB22" s="168">
        <v>0.3</v>
      </c>
      <c r="DC22" s="168">
        <v>0.3</v>
      </c>
      <c r="DE22" s="20">
        <f t="shared" si="22"/>
        <v>0</v>
      </c>
      <c r="DF22" s="20">
        <f t="shared" si="22"/>
        <v>0</v>
      </c>
      <c r="DG22" s="20">
        <f t="shared" si="22"/>
        <v>0</v>
      </c>
      <c r="DH22" s="20">
        <f t="shared" si="22"/>
        <v>0</v>
      </c>
      <c r="DI22" s="20">
        <f t="shared" si="22"/>
        <v>0</v>
      </c>
      <c r="DJ22" s="20">
        <f t="shared" si="22"/>
        <v>0</v>
      </c>
      <c r="DK22" s="20">
        <f t="shared" si="22"/>
        <v>0</v>
      </c>
      <c r="DL22" s="20">
        <f t="shared" si="22"/>
        <v>0</v>
      </c>
      <c r="DM22" s="20">
        <f t="shared" si="22"/>
        <v>0</v>
      </c>
      <c r="DN22" s="20">
        <f t="shared" si="22"/>
        <v>0</v>
      </c>
      <c r="DP22" s="20"/>
      <c r="DQ22" s="20"/>
      <c r="DR22" s="20"/>
      <c r="DS22" s="20"/>
      <c r="DT22" s="20"/>
      <c r="DU22" s="20"/>
      <c r="DV22" s="20"/>
      <c r="DW22" s="20"/>
      <c r="DX22" s="20"/>
      <c r="DY22" s="20"/>
      <c r="EA22" s="20">
        <f t="shared" si="23"/>
        <v>0</v>
      </c>
      <c r="EB22" s="20">
        <f t="shared" si="23"/>
        <v>0</v>
      </c>
      <c r="EC22" s="20">
        <f t="shared" si="23"/>
        <v>0</v>
      </c>
      <c r="ED22" s="20">
        <f t="shared" si="23"/>
        <v>0</v>
      </c>
      <c r="EE22" s="20">
        <f t="shared" si="23"/>
        <v>0</v>
      </c>
      <c r="EF22" s="20">
        <f t="shared" si="23"/>
        <v>0</v>
      </c>
      <c r="EG22" s="20">
        <f t="shared" si="23"/>
        <v>0</v>
      </c>
      <c r="EH22" s="20">
        <f t="shared" si="23"/>
        <v>0</v>
      </c>
      <c r="EI22" s="20">
        <f t="shared" si="23"/>
        <v>0</v>
      </c>
      <c r="EJ22" s="20">
        <f t="shared" si="23"/>
        <v>0</v>
      </c>
      <c r="EK22" s="8">
        <f t="shared" si="23"/>
        <v>0</v>
      </c>
      <c r="EL22" s="152">
        <f t="shared" si="24"/>
        <v>0</v>
      </c>
      <c r="EM22" s="152">
        <f t="shared" si="24"/>
        <v>0</v>
      </c>
      <c r="EN22" s="152">
        <f t="shared" si="24"/>
        <v>0</v>
      </c>
      <c r="EO22" s="152">
        <f t="shared" si="24"/>
        <v>0</v>
      </c>
      <c r="EP22" s="152">
        <f t="shared" si="24"/>
        <v>0</v>
      </c>
      <c r="EQ22" s="152">
        <f t="shared" si="24"/>
        <v>0</v>
      </c>
      <c r="ER22" s="152">
        <f t="shared" si="24"/>
        <v>0</v>
      </c>
      <c r="ES22" s="152">
        <f t="shared" si="24"/>
        <v>0</v>
      </c>
      <c r="ET22" s="152">
        <f t="shared" si="24"/>
        <v>0</v>
      </c>
      <c r="EU22" s="8">
        <f t="shared" si="25"/>
        <v>0</v>
      </c>
      <c r="EV22" s="154">
        <f t="shared" si="26"/>
        <v>0</v>
      </c>
      <c r="EW22" s="154">
        <f t="shared" si="26"/>
        <v>0</v>
      </c>
      <c r="EX22" s="154">
        <f t="shared" si="26"/>
        <v>0</v>
      </c>
      <c r="EY22" s="154">
        <f t="shared" si="26"/>
        <v>0</v>
      </c>
      <c r="EZ22" s="154">
        <f t="shared" si="26"/>
        <v>0</v>
      </c>
      <c r="FA22" s="154">
        <f t="shared" si="26"/>
        <v>0</v>
      </c>
      <c r="FB22" s="154">
        <f t="shared" si="26"/>
        <v>0</v>
      </c>
      <c r="FC22" s="154">
        <f t="shared" si="26"/>
        <v>0</v>
      </c>
      <c r="FD22" s="154">
        <f t="shared" si="26"/>
        <v>0</v>
      </c>
      <c r="FF22" s="154"/>
      <c r="FG22" s="154"/>
      <c r="FH22" s="127"/>
      <c r="FI22" s="127"/>
      <c r="FJ22" s="127"/>
      <c r="FK22" s="127"/>
      <c r="FL22" s="127">
        <f t="shared" si="32"/>
        <v>0.15000000000000002</v>
      </c>
      <c r="FM22" s="127">
        <f t="shared" si="31"/>
        <v>0.22999999999999995</v>
      </c>
      <c r="FN22" s="127">
        <f t="shared" si="31"/>
        <v>0.23854773928283424</v>
      </c>
      <c r="FO22" s="127">
        <f t="shared" si="31"/>
        <v>0.23847945412961566</v>
      </c>
      <c r="FQ22" s="20">
        <f t="shared" si="27"/>
        <v>0</v>
      </c>
      <c r="FR22" s="20">
        <f t="shared" si="27"/>
        <v>0</v>
      </c>
      <c r="FS22" s="128">
        <f t="shared" si="27"/>
        <v>0</v>
      </c>
      <c r="FT22" s="128">
        <f t="shared" si="27"/>
        <v>0</v>
      </c>
      <c r="FU22" s="128">
        <f t="shared" si="27"/>
        <v>0</v>
      </c>
      <c r="FV22" s="128">
        <f t="shared" si="27"/>
        <v>0</v>
      </c>
      <c r="FW22" s="128">
        <f t="shared" si="27"/>
        <v>0</v>
      </c>
      <c r="FX22" s="128">
        <f t="shared" si="27"/>
        <v>0</v>
      </c>
      <c r="FY22" s="128">
        <f t="shared" si="27"/>
        <v>0</v>
      </c>
      <c r="FZ22" s="128">
        <f t="shared" si="27"/>
        <v>0</v>
      </c>
      <c r="GA22" s="8">
        <f t="shared" si="28"/>
        <v>0</v>
      </c>
    </row>
    <row r="23" spans="2:183" ht="13.5">
      <c r="B23" s="19" t="s">
        <v>175</v>
      </c>
      <c r="C23" s="19" t="s">
        <v>173</v>
      </c>
      <c r="D23" s="19" t="s">
        <v>170</v>
      </c>
      <c r="E23" s="151">
        <v>0.88</v>
      </c>
      <c r="F23" s="170">
        <v>0.5</v>
      </c>
      <c r="G23" s="151">
        <v>1</v>
      </c>
      <c r="H23" s="19" t="s">
        <v>157</v>
      </c>
      <c r="J23" s="152">
        <v>0</v>
      </c>
      <c r="K23" s="152">
        <v>0</v>
      </c>
      <c r="L23" s="152">
        <v>0</v>
      </c>
      <c r="M23" s="152">
        <v>0</v>
      </c>
      <c r="N23" s="152">
        <v>0</v>
      </c>
      <c r="O23" s="152">
        <v>0</v>
      </c>
      <c r="P23" s="152">
        <v>0</v>
      </c>
      <c r="Q23" s="152">
        <v>0</v>
      </c>
      <c r="R23" s="152">
        <v>0</v>
      </c>
      <c r="S23" s="152">
        <v>0</v>
      </c>
      <c r="U23" s="152"/>
      <c r="V23" s="152"/>
      <c r="W23" s="152"/>
      <c r="X23" s="152"/>
      <c r="Y23" s="152"/>
      <c r="Z23" s="152"/>
      <c r="AA23" s="152"/>
      <c r="AB23" s="152"/>
      <c r="AC23" s="152">
        <v>52</v>
      </c>
      <c r="AD23" s="152">
        <f t="shared" si="29"/>
        <v>52</v>
      </c>
      <c r="AF23" s="165"/>
      <c r="AG23" s="165"/>
      <c r="AH23" s="165"/>
      <c r="AI23" s="165"/>
      <c r="AJ23" s="165"/>
      <c r="AK23" s="165"/>
      <c r="AL23" s="165">
        <v>1</v>
      </c>
      <c r="AM23" s="165">
        <v>1</v>
      </c>
      <c r="AN23" s="165">
        <v>1</v>
      </c>
      <c r="AO23" s="165">
        <f t="shared" si="16"/>
        <v>1</v>
      </c>
      <c r="AQ23" s="152"/>
      <c r="AR23" s="152"/>
      <c r="AS23" s="152"/>
      <c r="AT23" s="152"/>
      <c r="AU23" s="152"/>
      <c r="AV23" s="152"/>
      <c r="AW23" s="152">
        <v>0</v>
      </c>
      <c r="AX23" s="152">
        <v>0</v>
      </c>
      <c r="AY23" s="152">
        <v>33</v>
      </c>
      <c r="AZ23" s="152">
        <f t="shared" si="17"/>
        <v>33</v>
      </c>
      <c r="BB23" s="152"/>
      <c r="BC23" s="152"/>
      <c r="BD23" s="152"/>
      <c r="BE23" s="152"/>
      <c r="BF23" s="152"/>
      <c r="BG23" s="152"/>
      <c r="BH23" s="152">
        <v>0</v>
      </c>
      <c r="BI23" s="152">
        <v>0</v>
      </c>
      <c r="BJ23" s="152">
        <v>3</v>
      </c>
      <c r="BK23" s="152">
        <f t="shared" si="18"/>
        <v>3</v>
      </c>
      <c r="BM23" s="152">
        <f t="shared" si="19"/>
        <v>0</v>
      </c>
      <c r="BN23" s="152">
        <f t="shared" si="19"/>
        <v>0</v>
      </c>
      <c r="BO23" s="152">
        <f t="shared" si="19"/>
        <v>0</v>
      </c>
      <c r="BP23" s="152">
        <f t="shared" si="19"/>
        <v>0</v>
      </c>
      <c r="BQ23" s="152">
        <f t="shared" si="19"/>
        <v>0</v>
      </c>
      <c r="BR23" s="152">
        <f t="shared" si="19"/>
        <v>0</v>
      </c>
      <c r="BS23" s="152">
        <f t="shared" si="19"/>
        <v>0</v>
      </c>
      <c r="BT23" s="152">
        <f t="shared" si="19"/>
        <v>0</v>
      </c>
      <c r="BU23" s="152">
        <f t="shared" si="19"/>
        <v>0</v>
      </c>
      <c r="BV23" s="152">
        <f t="shared" si="19"/>
        <v>0</v>
      </c>
      <c r="BX23" s="160"/>
      <c r="BY23" s="159"/>
      <c r="BZ23" s="159"/>
      <c r="CA23" s="159"/>
      <c r="CB23" s="159"/>
      <c r="CC23" s="159"/>
      <c r="CD23" s="159">
        <v>26.522499999999994</v>
      </c>
      <c r="CE23" s="159">
        <v>27.318174999999993</v>
      </c>
      <c r="CF23" s="159">
        <f t="shared" si="30"/>
        <v>28.137720249999994</v>
      </c>
      <c r="CG23" s="159">
        <f t="shared" si="20"/>
        <v>28.981851857499993</v>
      </c>
      <c r="CI23" s="128">
        <f t="shared" si="21"/>
        <v>0</v>
      </c>
      <c r="CJ23" s="128">
        <f t="shared" si="21"/>
        <v>0</v>
      </c>
      <c r="CK23" s="161">
        <f t="shared" si="21"/>
        <v>0</v>
      </c>
      <c r="CL23" s="161">
        <f t="shared" si="21"/>
        <v>0</v>
      </c>
      <c r="CM23" s="161">
        <f t="shared" si="21"/>
        <v>0</v>
      </c>
      <c r="CN23" s="278">
        <f t="shared" si="21"/>
        <v>0</v>
      </c>
      <c r="CO23" s="278">
        <f t="shared" si="21"/>
        <v>0</v>
      </c>
      <c r="CP23" s="278">
        <f t="shared" si="21"/>
        <v>0</v>
      </c>
      <c r="CQ23" s="278">
        <f t="shared" si="21"/>
        <v>0</v>
      </c>
      <c r="CR23" s="278">
        <f t="shared" si="21"/>
        <v>0</v>
      </c>
      <c r="CT23" s="25">
        <v>0.3</v>
      </c>
      <c r="CU23" s="168">
        <v>0.3</v>
      </c>
      <c r="CV23" s="168">
        <v>0.3</v>
      </c>
      <c r="CW23" s="168">
        <v>0.3</v>
      </c>
      <c r="CX23" s="168">
        <v>0.3</v>
      </c>
      <c r="CY23" s="168">
        <v>0.3</v>
      </c>
      <c r="CZ23" s="168">
        <v>0.3</v>
      </c>
      <c r="DA23" s="168">
        <v>0.3</v>
      </c>
      <c r="DB23" s="168">
        <v>0.3</v>
      </c>
      <c r="DC23" s="168">
        <v>0.3</v>
      </c>
      <c r="DE23" s="20">
        <f t="shared" si="22"/>
        <v>0</v>
      </c>
      <c r="DF23" s="20">
        <f t="shared" si="22"/>
        <v>0</v>
      </c>
      <c r="DG23" s="20">
        <f t="shared" si="22"/>
        <v>0</v>
      </c>
      <c r="DH23" s="20">
        <f t="shared" si="22"/>
        <v>0</v>
      </c>
      <c r="DI23" s="20">
        <f t="shared" si="22"/>
        <v>0</v>
      </c>
      <c r="DJ23" s="20">
        <f t="shared" si="22"/>
        <v>0</v>
      </c>
      <c r="DK23" s="20">
        <f t="shared" si="22"/>
        <v>0</v>
      </c>
      <c r="DL23" s="20">
        <f t="shared" si="22"/>
        <v>0</v>
      </c>
      <c r="DM23" s="20">
        <f t="shared" si="22"/>
        <v>0</v>
      </c>
      <c r="DN23" s="20">
        <f t="shared" si="22"/>
        <v>0</v>
      </c>
      <c r="DP23" s="20"/>
      <c r="DQ23" s="20"/>
      <c r="DR23" s="20"/>
      <c r="DS23" s="20"/>
      <c r="DT23" s="20"/>
      <c r="DU23" s="20"/>
      <c r="DV23" s="20"/>
      <c r="DW23" s="20"/>
      <c r="DX23" s="20"/>
      <c r="DY23" s="20"/>
      <c r="EA23" s="20">
        <f t="shared" si="23"/>
        <v>0</v>
      </c>
      <c r="EB23" s="20">
        <f t="shared" si="23"/>
        <v>0</v>
      </c>
      <c r="EC23" s="20">
        <f t="shared" si="23"/>
        <v>0</v>
      </c>
      <c r="ED23" s="20">
        <f t="shared" si="23"/>
        <v>0</v>
      </c>
      <c r="EE23" s="20">
        <f t="shared" si="23"/>
        <v>0</v>
      </c>
      <c r="EF23" s="20">
        <f t="shared" si="23"/>
        <v>0</v>
      </c>
      <c r="EG23" s="20">
        <f t="shared" si="23"/>
        <v>0</v>
      </c>
      <c r="EH23" s="20">
        <f t="shared" si="23"/>
        <v>0</v>
      </c>
      <c r="EI23" s="20">
        <f t="shared" si="23"/>
        <v>0</v>
      </c>
      <c r="EJ23" s="20">
        <f t="shared" si="23"/>
        <v>0</v>
      </c>
      <c r="EK23" s="8">
        <f t="shared" si="23"/>
        <v>0</v>
      </c>
      <c r="EL23" s="152">
        <f t="shared" si="24"/>
        <v>0</v>
      </c>
      <c r="EM23" s="152">
        <f t="shared" si="24"/>
        <v>0</v>
      </c>
      <c r="EN23" s="152">
        <f t="shared" si="24"/>
        <v>0</v>
      </c>
      <c r="EO23" s="152">
        <f t="shared" si="24"/>
        <v>0</v>
      </c>
      <c r="EP23" s="152">
        <f>BQ23 * $E23*$F23*$G23</f>
        <v>0</v>
      </c>
      <c r="EQ23" s="152">
        <f t="shared" si="24"/>
        <v>0</v>
      </c>
      <c r="ER23" s="152">
        <f t="shared" si="24"/>
        <v>0</v>
      </c>
      <c r="ES23" s="152">
        <f t="shared" si="24"/>
        <v>0</v>
      </c>
      <c r="ET23" s="152">
        <f t="shared" si="24"/>
        <v>0</v>
      </c>
      <c r="EU23" s="8">
        <f t="shared" si="25"/>
        <v>0</v>
      </c>
      <c r="EV23" s="154">
        <f t="shared" si="26"/>
        <v>0</v>
      </c>
      <c r="EW23" s="154">
        <f t="shared" si="26"/>
        <v>0</v>
      </c>
      <c r="EX23" s="154">
        <f t="shared" si="26"/>
        <v>0</v>
      </c>
      <c r="EY23" s="154">
        <f t="shared" si="26"/>
        <v>0</v>
      </c>
      <c r="EZ23" s="154">
        <f t="shared" si="26"/>
        <v>0</v>
      </c>
      <c r="FA23" s="154">
        <f t="shared" si="26"/>
        <v>0</v>
      </c>
      <c r="FB23" s="154">
        <f t="shared" si="26"/>
        <v>0</v>
      </c>
      <c r="FC23" s="154">
        <f t="shared" si="26"/>
        <v>0</v>
      </c>
      <c r="FD23" s="154">
        <f t="shared" si="26"/>
        <v>0</v>
      </c>
      <c r="FF23" s="154"/>
      <c r="FG23" s="154"/>
      <c r="FH23" s="127"/>
      <c r="FI23" s="127"/>
      <c r="FJ23" s="127"/>
      <c r="FK23" s="127"/>
      <c r="FL23" s="127">
        <f t="shared" si="32"/>
        <v>0.15000000000000002</v>
      </c>
      <c r="FM23" s="127">
        <f t="shared" si="31"/>
        <v>0.22999999999999995</v>
      </c>
      <c r="FN23" s="127">
        <f t="shared" si="31"/>
        <v>0.23854773928283424</v>
      </c>
      <c r="FO23" s="127">
        <f t="shared" si="31"/>
        <v>0.23847945412961566</v>
      </c>
      <c r="FQ23" s="20">
        <f t="shared" si="27"/>
        <v>0</v>
      </c>
      <c r="FR23" s="20">
        <f t="shared" si="27"/>
        <v>0</v>
      </c>
      <c r="FS23" s="128">
        <f t="shared" si="27"/>
        <v>0</v>
      </c>
      <c r="FT23" s="128">
        <f t="shared" si="27"/>
        <v>0</v>
      </c>
      <c r="FU23" s="128">
        <f t="shared" si="27"/>
        <v>0</v>
      </c>
      <c r="FV23" s="128">
        <f t="shared" si="27"/>
        <v>0</v>
      </c>
      <c r="FW23" s="128">
        <f t="shared" si="27"/>
        <v>0</v>
      </c>
      <c r="FX23" s="128">
        <f t="shared" si="27"/>
        <v>0</v>
      </c>
      <c r="FY23" s="128">
        <f t="shared" si="27"/>
        <v>0</v>
      </c>
      <c r="FZ23" s="128">
        <f t="shared" si="27"/>
        <v>0</v>
      </c>
      <c r="GA23" s="8">
        <f t="shared" si="28"/>
        <v>0</v>
      </c>
    </row>
    <row r="24" spans="2:183" ht="13.5">
      <c r="B24" s="19"/>
      <c r="C24" s="19"/>
      <c r="D24" s="19"/>
      <c r="E24" s="151"/>
      <c r="F24" s="170"/>
      <c r="G24" s="151"/>
      <c r="H24" s="19"/>
      <c r="J24" s="152"/>
      <c r="K24" s="152"/>
      <c r="L24" s="152"/>
      <c r="M24" s="152"/>
      <c r="N24" s="152"/>
      <c r="O24" s="152"/>
      <c r="P24" s="152"/>
      <c r="Q24" s="152"/>
      <c r="R24" s="152"/>
      <c r="S24" s="152"/>
      <c r="U24" s="152"/>
      <c r="V24" s="152"/>
      <c r="W24" s="152"/>
      <c r="X24" s="152"/>
      <c r="Y24" s="152"/>
      <c r="Z24" s="152"/>
      <c r="AA24" s="152"/>
      <c r="AB24" s="152"/>
      <c r="AC24" s="152"/>
      <c r="AD24" s="152"/>
      <c r="AF24" s="165"/>
      <c r="AG24" s="165"/>
      <c r="AH24" s="165"/>
      <c r="AI24" s="165"/>
      <c r="AJ24" s="165"/>
      <c r="AK24" s="165"/>
      <c r="AL24" s="165"/>
      <c r="AM24" s="165"/>
      <c r="AN24" s="165"/>
      <c r="AO24" s="165"/>
      <c r="AQ24" s="152"/>
      <c r="AR24" s="152"/>
      <c r="AS24" s="152"/>
      <c r="AT24" s="152"/>
      <c r="AU24" s="152"/>
      <c r="AV24" s="152"/>
      <c r="AW24" s="152"/>
      <c r="AX24" s="152"/>
      <c r="AY24" s="152"/>
      <c r="AZ24" s="152"/>
      <c r="BB24" s="152"/>
      <c r="BC24" s="152"/>
      <c r="BD24" s="152"/>
      <c r="BE24" s="152"/>
      <c r="BF24" s="152"/>
      <c r="BG24" s="152"/>
      <c r="BH24" s="152"/>
      <c r="BI24" s="152"/>
      <c r="BJ24" s="152"/>
      <c r="BK24" s="152"/>
      <c r="BM24" s="152"/>
      <c r="BN24" s="152"/>
      <c r="BO24" s="152"/>
      <c r="BP24" s="152"/>
      <c r="BQ24" s="152"/>
      <c r="BR24" s="152"/>
      <c r="BS24" s="152"/>
      <c r="BT24" s="152"/>
      <c r="BU24" s="152"/>
      <c r="BV24" s="152"/>
      <c r="BX24" s="160"/>
      <c r="BY24" s="159"/>
      <c r="BZ24" s="159"/>
      <c r="CA24" s="159"/>
      <c r="CB24" s="159"/>
      <c r="CC24" s="159"/>
      <c r="CD24" s="159"/>
      <c r="CE24" s="159"/>
      <c r="CF24" s="159"/>
      <c r="CG24" s="159"/>
      <c r="CI24" s="128"/>
      <c r="CJ24" s="128"/>
      <c r="CK24" s="161"/>
      <c r="CL24" s="161"/>
      <c r="CM24" s="161"/>
      <c r="CN24" s="278"/>
      <c r="CO24" s="278"/>
      <c r="CP24" s="278"/>
      <c r="CQ24" s="278"/>
      <c r="CR24" s="278"/>
      <c r="CT24" s="25"/>
      <c r="CU24" s="168"/>
      <c r="CV24" s="168"/>
      <c r="CW24" s="168"/>
      <c r="CX24" s="168"/>
      <c r="CY24" s="168"/>
      <c r="CZ24" s="168"/>
      <c r="DA24" s="168"/>
      <c r="DB24" s="168"/>
      <c r="DC24" s="168"/>
      <c r="DE24" s="20"/>
      <c r="DF24" s="20"/>
      <c r="DG24" s="20"/>
      <c r="DH24" s="20"/>
      <c r="DI24" s="20"/>
      <c r="DJ24" s="20"/>
      <c r="DK24" s="20"/>
      <c r="DL24" s="20"/>
      <c r="DM24" s="20"/>
      <c r="DN24" s="20"/>
      <c r="DP24" s="20"/>
      <c r="DQ24" s="20"/>
      <c r="DR24" s="20"/>
      <c r="DS24" s="20"/>
      <c r="DT24" s="20"/>
      <c r="DU24" s="20"/>
      <c r="DV24" s="20"/>
      <c r="DW24" s="20"/>
      <c r="DX24" s="20"/>
      <c r="DY24" s="20"/>
      <c r="EA24" s="20"/>
      <c r="EB24" s="20"/>
      <c r="EC24" s="20"/>
      <c r="ED24" s="20"/>
      <c r="EE24" s="20"/>
      <c r="EF24" s="20"/>
      <c r="EG24" s="20"/>
      <c r="EH24" s="20"/>
      <c r="EI24" s="20"/>
      <c r="EJ24" s="20"/>
      <c r="EL24" s="152"/>
      <c r="EM24" s="152"/>
      <c r="EN24" s="152"/>
      <c r="EO24" s="152"/>
      <c r="EP24" s="152"/>
      <c r="EQ24" s="152"/>
      <c r="ER24" s="152"/>
      <c r="ES24" s="152"/>
      <c r="ET24" s="152"/>
      <c r="EV24" s="154"/>
      <c r="EW24" s="154"/>
      <c r="EX24" s="154"/>
      <c r="EY24" s="154"/>
      <c r="EZ24" s="154"/>
      <c r="FA24" s="154"/>
      <c r="FB24" s="154"/>
      <c r="FC24" s="154"/>
      <c r="FD24" s="154"/>
      <c r="FF24" s="154"/>
      <c r="FG24" s="154"/>
      <c r="FH24" s="127"/>
      <c r="FI24" s="127"/>
      <c r="FJ24" s="127"/>
      <c r="FK24" s="127"/>
      <c r="FL24" s="127"/>
      <c r="FM24" s="127"/>
      <c r="FN24" s="127"/>
      <c r="FO24" s="127"/>
      <c r="FQ24" s="20"/>
      <c r="FR24" s="20"/>
      <c r="FS24" s="128"/>
      <c r="FT24" s="128"/>
      <c r="FU24" s="128"/>
      <c r="FV24" s="128"/>
      <c r="FW24" s="128"/>
      <c r="FX24" s="128"/>
      <c r="FY24" s="128"/>
      <c r="FZ24" s="128"/>
    </row>
    <row r="25" spans="2:183" ht="13.5">
      <c r="B25" s="19"/>
      <c r="C25" s="19"/>
      <c r="D25" s="19"/>
      <c r="E25" s="151"/>
      <c r="F25" s="170"/>
      <c r="G25" s="151"/>
      <c r="H25" s="19"/>
      <c r="J25" s="152"/>
      <c r="K25" s="152"/>
      <c r="L25" s="152"/>
      <c r="M25" s="152"/>
      <c r="N25" s="152"/>
      <c r="O25" s="152"/>
      <c r="P25" s="152"/>
      <c r="Q25" s="152"/>
      <c r="R25" s="152"/>
      <c r="S25" s="152"/>
      <c r="U25" s="152"/>
      <c r="V25" s="152"/>
      <c r="W25" s="152"/>
      <c r="X25" s="152"/>
      <c r="Y25" s="152"/>
      <c r="Z25" s="152"/>
      <c r="AA25" s="152"/>
      <c r="AB25" s="152"/>
      <c r="AC25" s="152"/>
      <c r="AD25" s="152"/>
      <c r="AF25" s="165"/>
      <c r="AG25" s="165"/>
      <c r="AH25" s="165"/>
      <c r="AI25" s="165"/>
      <c r="AJ25" s="165"/>
      <c r="AK25" s="165"/>
      <c r="AL25" s="165"/>
      <c r="AM25" s="165"/>
      <c r="AN25" s="165"/>
      <c r="AO25" s="165"/>
      <c r="AQ25" s="152"/>
      <c r="AR25" s="152"/>
      <c r="AS25" s="152"/>
      <c r="AT25" s="152"/>
      <c r="AU25" s="152"/>
      <c r="AV25" s="152"/>
      <c r="AW25" s="152"/>
      <c r="AX25" s="152"/>
      <c r="AY25" s="152"/>
      <c r="AZ25" s="152"/>
      <c r="BB25" s="152"/>
      <c r="BC25" s="152"/>
      <c r="BD25" s="152"/>
      <c r="BE25" s="152"/>
      <c r="BF25" s="152"/>
      <c r="BG25" s="152"/>
      <c r="BH25" s="152"/>
      <c r="BI25" s="152"/>
      <c r="BJ25" s="152"/>
      <c r="BK25" s="152"/>
      <c r="BM25" s="152"/>
      <c r="BN25" s="152"/>
      <c r="BO25" s="152"/>
      <c r="BP25" s="152"/>
      <c r="BQ25" s="152"/>
      <c r="BR25" s="152"/>
      <c r="BS25" s="152"/>
      <c r="BT25" s="152"/>
      <c r="BU25" s="152"/>
      <c r="BV25" s="152"/>
      <c r="BX25" s="160"/>
      <c r="BY25" s="159"/>
      <c r="BZ25" s="159"/>
      <c r="CA25" s="159"/>
      <c r="CB25" s="159"/>
      <c r="CC25" s="159"/>
      <c r="CD25" s="159"/>
      <c r="CE25" s="159"/>
      <c r="CF25" s="159"/>
      <c r="CG25" s="159"/>
      <c r="CI25" s="128"/>
      <c r="CJ25" s="128"/>
      <c r="CK25" s="161"/>
      <c r="CL25" s="161"/>
      <c r="CM25" s="161"/>
      <c r="CN25" s="278"/>
      <c r="CO25" s="278"/>
      <c r="CP25" s="278"/>
      <c r="CQ25" s="278"/>
      <c r="CR25" s="278"/>
      <c r="CT25" s="25"/>
      <c r="CU25" s="168"/>
      <c r="CV25" s="168"/>
      <c r="CW25" s="168"/>
      <c r="CX25" s="168"/>
      <c r="CY25" s="168"/>
      <c r="CZ25" s="168"/>
      <c r="DA25" s="168"/>
      <c r="DB25" s="168"/>
      <c r="DC25" s="168"/>
      <c r="DE25" s="20"/>
      <c r="DF25" s="20"/>
      <c r="DG25" s="20"/>
      <c r="DH25" s="20"/>
      <c r="DI25" s="20"/>
      <c r="DJ25" s="20"/>
      <c r="DK25" s="20"/>
      <c r="DL25" s="20"/>
      <c r="DM25" s="20"/>
      <c r="DN25" s="20"/>
      <c r="DP25" s="20"/>
      <c r="DQ25" s="20"/>
      <c r="DR25" s="20"/>
      <c r="DS25" s="20"/>
      <c r="DT25" s="20"/>
      <c r="DU25" s="20"/>
      <c r="DV25" s="20"/>
      <c r="DW25" s="20"/>
      <c r="DX25" s="20"/>
      <c r="DY25" s="20"/>
      <c r="EA25" s="20"/>
      <c r="EB25" s="20"/>
      <c r="EC25" s="20"/>
      <c r="ED25" s="20"/>
      <c r="EE25" s="20"/>
      <c r="EF25" s="20"/>
      <c r="EG25" s="20"/>
      <c r="EH25" s="20"/>
      <c r="EI25" s="20"/>
      <c r="EJ25" s="20"/>
      <c r="EL25" s="152"/>
      <c r="EM25" s="152"/>
      <c r="EN25" s="152"/>
      <c r="EO25" s="152"/>
      <c r="EP25" s="152"/>
      <c r="EQ25" s="152"/>
      <c r="ER25" s="152"/>
      <c r="ES25" s="152"/>
      <c r="ET25" s="152"/>
      <c r="EV25" s="154"/>
      <c r="EW25" s="154"/>
      <c r="EX25" s="154"/>
      <c r="EY25" s="154"/>
      <c r="EZ25" s="154"/>
      <c r="FA25" s="154"/>
      <c r="FB25" s="154"/>
      <c r="FC25" s="154"/>
      <c r="FD25" s="154"/>
      <c r="FF25" s="154"/>
      <c r="FG25" s="154"/>
      <c r="FH25" s="127"/>
      <c r="FI25" s="127"/>
      <c r="FJ25" s="127"/>
      <c r="FK25" s="127"/>
      <c r="FL25" s="127"/>
      <c r="FM25" s="127"/>
      <c r="FN25" s="127"/>
      <c r="FO25" s="127"/>
      <c r="FQ25" s="20"/>
      <c r="FR25" s="20"/>
      <c r="FS25" s="128"/>
      <c r="FT25" s="128"/>
      <c r="FU25" s="128"/>
      <c r="FV25" s="128"/>
      <c r="FW25" s="128"/>
      <c r="FX25" s="128"/>
      <c r="FY25" s="128"/>
      <c r="FZ25" s="128"/>
    </row>
    <row r="26" spans="2:183" ht="13.5">
      <c r="B26" s="19"/>
      <c r="C26" s="19"/>
      <c r="D26" s="19"/>
      <c r="E26" s="151"/>
      <c r="F26" s="170"/>
      <c r="G26" s="151"/>
      <c r="H26" s="19"/>
      <c r="J26" s="152"/>
      <c r="K26" s="152"/>
      <c r="L26" s="152"/>
      <c r="M26" s="152"/>
      <c r="N26" s="152"/>
      <c r="O26" s="152"/>
      <c r="P26" s="152"/>
      <c r="Q26" s="152"/>
      <c r="R26" s="152"/>
      <c r="S26" s="152"/>
      <c r="U26" s="152"/>
      <c r="V26" s="152"/>
      <c r="W26" s="152"/>
      <c r="X26" s="152"/>
      <c r="Y26" s="152"/>
      <c r="Z26" s="152"/>
      <c r="AA26" s="152"/>
      <c r="AB26" s="152"/>
      <c r="AC26" s="152"/>
      <c r="AD26" s="152"/>
      <c r="AF26" s="165"/>
      <c r="AG26" s="165"/>
      <c r="AH26" s="165"/>
      <c r="AI26" s="165"/>
      <c r="AJ26" s="165"/>
      <c r="AK26" s="165"/>
      <c r="AL26" s="165"/>
      <c r="AM26" s="165"/>
      <c r="AN26" s="165"/>
      <c r="AO26" s="165"/>
      <c r="AQ26" s="152"/>
      <c r="AR26" s="152"/>
      <c r="AS26" s="152"/>
      <c r="AT26" s="152"/>
      <c r="AU26" s="152"/>
      <c r="AV26" s="152"/>
      <c r="AW26" s="152"/>
      <c r="AX26" s="152"/>
      <c r="AY26" s="152"/>
      <c r="AZ26" s="152"/>
      <c r="BB26" s="152"/>
      <c r="BC26" s="152"/>
      <c r="BD26" s="152"/>
      <c r="BE26" s="152"/>
      <c r="BF26" s="152"/>
      <c r="BG26" s="152"/>
      <c r="BH26" s="152"/>
      <c r="BI26" s="152"/>
      <c r="BJ26" s="152"/>
      <c r="BK26" s="152"/>
      <c r="BM26" s="152"/>
      <c r="BN26" s="152"/>
      <c r="BO26" s="152"/>
      <c r="BP26" s="152"/>
      <c r="BQ26" s="152"/>
      <c r="BR26" s="152"/>
      <c r="BS26" s="152"/>
      <c r="BT26" s="152"/>
      <c r="BU26" s="152"/>
      <c r="BV26" s="152"/>
      <c r="BX26" s="160"/>
      <c r="BY26" s="159"/>
      <c r="BZ26" s="159"/>
      <c r="CA26" s="159"/>
      <c r="CB26" s="159"/>
      <c r="CC26" s="159"/>
      <c r="CD26" s="159"/>
      <c r="CE26" s="159"/>
      <c r="CF26" s="159"/>
      <c r="CG26" s="159"/>
      <c r="CI26" s="128"/>
      <c r="CJ26" s="128"/>
      <c r="CK26" s="161"/>
      <c r="CL26" s="161"/>
      <c r="CM26" s="161"/>
      <c r="CN26" s="278"/>
      <c r="CO26" s="278"/>
      <c r="CP26" s="278"/>
      <c r="CQ26" s="278"/>
      <c r="CR26" s="278"/>
      <c r="CT26" s="25"/>
      <c r="CU26" s="168"/>
      <c r="CV26" s="168"/>
      <c r="CW26" s="168"/>
      <c r="CX26" s="168"/>
      <c r="CY26" s="168"/>
      <c r="CZ26" s="168"/>
      <c r="DA26" s="168"/>
      <c r="DB26" s="168"/>
      <c r="DC26" s="168"/>
      <c r="DE26" s="20"/>
      <c r="DF26" s="20"/>
      <c r="DG26" s="20"/>
      <c r="DH26" s="20"/>
      <c r="DI26" s="20"/>
      <c r="DJ26" s="20"/>
      <c r="DK26" s="20"/>
      <c r="DL26" s="20"/>
      <c r="DM26" s="20"/>
      <c r="DN26" s="20"/>
      <c r="DP26" s="20"/>
      <c r="DQ26" s="20"/>
      <c r="DR26" s="20"/>
      <c r="DS26" s="20"/>
      <c r="DT26" s="20"/>
      <c r="DU26" s="20"/>
      <c r="DV26" s="20"/>
      <c r="DW26" s="20"/>
      <c r="DX26" s="20"/>
      <c r="DY26" s="20"/>
      <c r="EA26" s="20"/>
      <c r="EB26" s="20"/>
      <c r="EC26" s="20"/>
      <c r="ED26" s="20"/>
      <c r="EE26" s="20"/>
      <c r="EF26" s="20"/>
      <c r="EG26" s="20"/>
      <c r="EH26" s="20"/>
      <c r="EI26" s="20"/>
      <c r="EJ26" s="20"/>
      <c r="EL26" s="152"/>
      <c r="EM26" s="152"/>
      <c r="EN26" s="152"/>
      <c r="EO26" s="152"/>
      <c r="EP26" s="152"/>
      <c r="EQ26" s="152"/>
      <c r="ER26" s="152"/>
      <c r="ES26" s="152"/>
      <c r="ET26" s="152"/>
      <c r="EV26" s="154"/>
      <c r="EW26" s="154"/>
      <c r="EX26" s="154"/>
      <c r="EY26" s="154"/>
      <c r="EZ26" s="154"/>
      <c r="FA26" s="154"/>
      <c r="FB26" s="154"/>
      <c r="FC26" s="154"/>
      <c r="FD26" s="154"/>
      <c r="FF26" s="154"/>
      <c r="FG26" s="154"/>
      <c r="FH26" s="127"/>
      <c r="FI26" s="127"/>
      <c r="FJ26" s="127"/>
      <c r="FK26" s="127"/>
      <c r="FL26" s="127"/>
      <c r="FM26" s="127"/>
      <c r="FN26" s="127"/>
      <c r="FO26" s="127"/>
      <c r="FQ26" s="20"/>
      <c r="FR26" s="20"/>
      <c r="FS26" s="128"/>
      <c r="FT26" s="128"/>
      <c r="FU26" s="128"/>
      <c r="FV26" s="128"/>
      <c r="FW26" s="128"/>
      <c r="FX26" s="128"/>
      <c r="FY26" s="128"/>
      <c r="FZ26" s="128"/>
    </row>
    <row r="27" spans="2:183" ht="13.5">
      <c r="B27" s="19"/>
      <c r="C27" s="19"/>
      <c r="D27" s="19"/>
      <c r="E27" s="151"/>
      <c r="F27" s="170"/>
      <c r="G27" s="151"/>
      <c r="H27" s="19"/>
      <c r="J27" s="152"/>
      <c r="K27" s="152"/>
      <c r="L27" s="152"/>
      <c r="M27" s="152"/>
      <c r="N27" s="152"/>
      <c r="O27" s="152"/>
      <c r="P27" s="152"/>
      <c r="Q27" s="152"/>
      <c r="R27" s="152"/>
      <c r="S27" s="152"/>
      <c r="U27" s="152"/>
      <c r="V27" s="152"/>
      <c r="W27" s="152"/>
      <c r="X27" s="152"/>
      <c r="Y27" s="152"/>
      <c r="Z27" s="152"/>
      <c r="AA27" s="152"/>
      <c r="AB27" s="152"/>
      <c r="AC27" s="152"/>
      <c r="AD27" s="152"/>
      <c r="AF27" s="165"/>
      <c r="AG27" s="165"/>
      <c r="AH27" s="165"/>
      <c r="AI27" s="165"/>
      <c r="AJ27" s="165"/>
      <c r="AK27" s="165"/>
      <c r="AL27" s="165"/>
      <c r="AM27" s="165"/>
      <c r="AN27" s="165"/>
      <c r="AO27" s="165"/>
      <c r="AQ27" s="152"/>
      <c r="AR27" s="152"/>
      <c r="AS27" s="152"/>
      <c r="AT27" s="152"/>
      <c r="AU27" s="152"/>
      <c r="AV27" s="152"/>
      <c r="AW27" s="152"/>
      <c r="AX27" s="152"/>
      <c r="AY27" s="152"/>
      <c r="AZ27" s="152"/>
      <c r="BB27" s="152"/>
      <c r="BC27" s="152"/>
      <c r="BD27" s="152"/>
      <c r="BE27" s="152"/>
      <c r="BF27" s="152"/>
      <c r="BG27" s="152"/>
      <c r="BH27" s="152"/>
      <c r="BI27" s="152"/>
      <c r="BJ27" s="152"/>
      <c r="BK27" s="152"/>
      <c r="BM27" s="152"/>
      <c r="BN27" s="152"/>
      <c r="BO27" s="152"/>
      <c r="BP27" s="152"/>
      <c r="BQ27" s="152"/>
      <c r="BR27" s="152"/>
      <c r="BS27" s="152"/>
      <c r="BT27" s="152"/>
      <c r="BU27" s="152"/>
      <c r="BV27" s="152"/>
      <c r="BX27" s="160"/>
      <c r="BY27" s="159"/>
      <c r="BZ27" s="159"/>
      <c r="CA27" s="159"/>
      <c r="CB27" s="159"/>
      <c r="CC27" s="159"/>
      <c r="CD27" s="159"/>
      <c r="CE27" s="159"/>
      <c r="CF27" s="159"/>
      <c r="CG27" s="159"/>
      <c r="CI27" s="128"/>
      <c r="CJ27" s="128"/>
      <c r="CK27" s="161"/>
      <c r="CL27" s="161"/>
      <c r="CM27" s="161"/>
      <c r="CN27" s="278"/>
      <c r="CO27" s="278"/>
      <c r="CP27" s="278"/>
      <c r="CQ27" s="278"/>
      <c r="CR27" s="278"/>
      <c r="CT27" s="25"/>
      <c r="CU27" s="168"/>
      <c r="CV27" s="168"/>
      <c r="CW27" s="168"/>
      <c r="CX27" s="168"/>
      <c r="CY27" s="168"/>
      <c r="CZ27" s="168"/>
      <c r="DA27" s="168"/>
      <c r="DB27" s="168"/>
      <c r="DC27" s="168"/>
      <c r="DE27" s="20"/>
      <c r="DF27" s="20"/>
      <c r="DG27" s="20"/>
      <c r="DH27" s="20"/>
      <c r="DI27" s="20"/>
      <c r="DJ27" s="20"/>
      <c r="DK27" s="20"/>
      <c r="DL27" s="20"/>
      <c r="DM27" s="20"/>
      <c r="DN27" s="20"/>
      <c r="DP27" s="20"/>
      <c r="DQ27" s="20"/>
      <c r="DR27" s="20"/>
      <c r="DS27" s="20"/>
      <c r="DT27" s="20"/>
      <c r="DU27" s="20"/>
      <c r="DV27" s="20"/>
      <c r="DW27" s="20"/>
      <c r="DX27" s="20"/>
      <c r="DY27" s="20"/>
      <c r="EA27" s="20"/>
      <c r="EB27" s="20"/>
      <c r="EC27" s="20"/>
      <c r="ED27" s="20"/>
      <c r="EE27" s="20"/>
      <c r="EF27" s="20"/>
      <c r="EG27" s="20"/>
      <c r="EH27" s="20"/>
      <c r="EI27" s="20"/>
      <c r="EJ27" s="20"/>
      <c r="EL27" s="152"/>
      <c r="EM27" s="152"/>
      <c r="EN27" s="152"/>
      <c r="EO27" s="152"/>
      <c r="EP27" s="152"/>
      <c r="EQ27" s="152"/>
      <c r="ER27" s="152"/>
      <c r="ES27" s="152"/>
      <c r="ET27" s="152"/>
      <c r="EV27" s="154"/>
      <c r="EW27" s="154"/>
      <c r="EX27" s="154"/>
      <c r="EY27" s="154"/>
      <c r="EZ27" s="154"/>
      <c r="FA27" s="154"/>
      <c r="FB27" s="154"/>
      <c r="FC27" s="154"/>
      <c r="FD27" s="154"/>
      <c r="FF27" s="154"/>
      <c r="FG27" s="154"/>
      <c r="FH27" s="127"/>
      <c r="FI27" s="127"/>
      <c r="FJ27" s="127"/>
      <c r="FK27" s="127"/>
      <c r="FL27" s="127"/>
      <c r="FM27" s="127"/>
      <c r="FN27" s="127"/>
      <c r="FO27" s="127"/>
      <c r="FQ27" s="20"/>
      <c r="FR27" s="20"/>
      <c r="FS27" s="128"/>
      <c r="FT27" s="128"/>
      <c r="FU27" s="128"/>
      <c r="FV27" s="128"/>
      <c r="FW27" s="128"/>
      <c r="FX27" s="128"/>
      <c r="FY27" s="128"/>
      <c r="FZ27" s="128"/>
    </row>
    <row r="28" spans="2:183" ht="13.5">
      <c r="B28" s="19"/>
      <c r="C28" s="19"/>
      <c r="D28" s="19"/>
      <c r="E28" s="151"/>
      <c r="F28" s="170"/>
      <c r="G28" s="151"/>
      <c r="H28" s="19"/>
      <c r="J28" s="152"/>
      <c r="K28" s="152"/>
      <c r="L28" s="152"/>
      <c r="M28" s="152"/>
      <c r="N28" s="152"/>
      <c r="O28" s="152"/>
      <c r="P28" s="152"/>
      <c r="Q28" s="152"/>
      <c r="R28" s="152"/>
      <c r="S28" s="152"/>
      <c r="U28" s="152"/>
      <c r="V28" s="152"/>
      <c r="W28" s="152"/>
      <c r="X28" s="152"/>
      <c r="Y28" s="152"/>
      <c r="Z28" s="152"/>
      <c r="AA28" s="152"/>
      <c r="AB28" s="152"/>
      <c r="AC28" s="152"/>
      <c r="AD28" s="152"/>
      <c r="AF28" s="165"/>
      <c r="AG28" s="165"/>
      <c r="AH28" s="165"/>
      <c r="AI28" s="165"/>
      <c r="AJ28" s="165"/>
      <c r="AK28" s="165"/>
      <c r="AL28" s="165"/>
      <c r="AM28" s="165"/>
      <c r="AN28" s="165"/>
      <c r="AO28" s="165"/>
      <c r="AQ28" s="152"/>
      <c r="AR28" s="152"/>
      <c r="AS28" s="152"/>
      <c r="AT28" s="152"/>
      <c r="AU28" s="152"/>
      <c r="AV28" s="152"/>
      <c r="AW28" s="152"/>
      <c r="AX28" s="152"/>
      <c r="AY28" s="152"/>
      <c r="AZ28" s="152"/>
      <c r="BB28" s="152"/>
      <c r="BC28" s="152"/>
      <c r="BD28" s="152"/>
      <c r="BE28" s="152"/>
      <c r="BF28" s="152"/>
      <c r="BG28" s="152"/>
      <c r="BH28" s="152"/>
      <c r="BI28" s="152"/>
      <c r="BJ28" s="152"/>
      <c r="BK28" s="152"/>
      <c r="BM28" s="152"/>
      <c r="BN28" s="152"/>
      <c r="BO28" s="152"/>
      <c r="BP28" s="152"/>
      <c r="BQ28" s="152"/>
      <c r="BR28" s="152"/>
      <c r="BS28" s="152"/>
      <c r="BT28" s="152"/>
      <c r="BU28" s="152"/>
      <c r="BV28" s="152"/>
      <c r="BX28" s="160"/>
      <c r="BY28" s="159"/>
      <c r="BZ28" s="159"/>
      <c r="CA28" s="159"/>
      <c r="CB28" s="159"/>
      <c r="CC28" s="159"/>
      <c r="CD28" s="159"/>
      <c r="CE28" s="159"/>
      <c r="CF28" s="159"/>
      <c r="CG28" s="159"/>
      <c r="CI28" s="128"/>
      <c r="CJ28" s="128"/>
      <c r="CK28" s="161"/>
      <c r="CL28" s="161"/>
      <c r="CM28" s="161"/>
      <c r="CN28" s="278"/>
      <c r="CO28" s="278"/>
      <c r="CP28" s="278"/>
      <c r="CQ28" s="278"/>
      <c r="CR28" s="278"/>
      <c r="CT28" s="25"/>
      <c r="CU28" s="168"/>
      <c r="CV28" s="168"/>
      <c r="CW28" s="168"/>
      <c r="CX28" s="168"/>
      <c r="CY28" s="168"/>
      <c r="CZ28" s="168"/>
      <c r="DA28" s="168"/>
      <c r="DB28" s="168"/>
      <c r="DC28" s="168"/>
      <c r="DE28" s="20"/>
      <c r="DF28" s="20"/>
      <c r="DG28" s="20"/>
      <c r="DH28" s="20"/>
      <c r="DI28" s="20"/>
      <c r="DJ28" s="20"/>
      <c r="DK28" s="20"/>
      <c r="DL28" s="20"/>
      <c r="DM28" s="20"/>
      <c r="DN28" s="20"/>
      <c r="DP28" s="20"/>
      <c r="DQ28" s="20"/>
      <c r="DR28" s="20"/>
      <c r="DS28" s="20"/>
      <c r="DT28" s="20"/>
      <c r="DU28" s="20"/>
      <c r="DV28" s="20"/>
      <c r="DW28" s="20"/>
      <c r="DX28" s="20"/>
      <c r="DY28" s="20"/>
      <c r="EA28" s="20"/>
      <c r="EB28" s="20"/>
      <c r="EC28" s="20"/>
      <c r="ED28" s="20"/>
      <c r="EE28" s="20"/>
      <c r="EF28" s="20"/>
      <c r="EG28" s="20"/>
      <c r="EH28" s="20"/>
      <c r="EI28" s="20"/>
      <c r="EJ28" s="20"/>
      <c r="EL28" s="152"/>
      <c r="EM28" s="152"/>
      <c r="EN28" s="152"/>
      <c r="EO28" s="152"/>
      <c r="EP28" s="152"/>
      <c r="EQ28" s="152"/>
      <c r="ER28" s="152"/>
      <c r="ES28" s="152"/>
      <c r="ET28" s="152"/>
      <c r="EV28" s="154"/>
      <c r="EW28" s="154"/>
      <c r="EX28" s="154"/>
      <c r="EY28" s="154"/>
      <c r="EZ28" s="154"/>
      <c r="FA28" s="154"/>
      <c r="FB28" s="154"/>
      <c r="FC28" s="154"/>
      <c r="FD28" s="154"/>
      <c r="FF28" s="154"/>
      <c r="FG28" s="154"/>
      <c r="FH28" s="127"/>
      <c r="FI28" s="127"/>
      <c r="FJ28" s="127"/>
      <c r="FK28" s="127"/>
      <c r="FL28" s="127"/>
      <c r="FM28" s="127"/>
      <c r="FN28" s="127"/>
      <c r="FO28" s="127"/>
      <c r="FQ28" s="20"/>
      <c r="FR28" s="20"/>
      <c r="FS28" s="128"/>
      <c r="FT28" s="128"/>
      <c r="FU28" s="128"/>
      <c r="FV28" s="128"/>
      <c r="FW28" s="128"/>
      <c r="FX28" s="128"/>
      <c r="FY28" s="128"/>
      <c r="FZ28" s="128"/>
    </row>
    <row r="29" spans="2:183" ht="13.5">
      <c r="B29" s="19"/>
      <c r="C29" s="19"/>
      <c r="D29" s="19"/>
      <c r="E29" s="151"/>
      <c r="F29" s="170"/>
      <c r="G29" s="151"/>
      <c r="H29" s="19"/>
      <c r="J29" s="152"/>
      <c r="K29" s="152"/>
      <c r="L29" s="152"/>
      <c r="M29" s="152"/>
      <c r="N29" s="152"/>
      <c r="O29" s="152"/>
      <c r="P29" s="152"/>
      <c r="Q29" s="152"/>
      <c r="R29" s="152"/>
      <c r="S29" s="152"/>
      <c r="U29" s="152"/>
      <c r="V29" s="152"/>
      <c r="W29" s="152"/>
      <c r="X29" s="152"/>
      <c r="Y29" s="152"/>
      <c r="Z29" s="152"/>
      <c r="AA29" s="152"/>
      <c r="AB29" s="152"/>
      <c r="AC29" s="152"/>
      <c r="AD29" s="152"/>
      <c r="AF29" s="165"/>
      <c r="AG29" s="165"/>
      <c r="AH29" s="165"/>
      <c r="AI29" s="165"/>
      <c r="AJ29" s="165"/>
      <c r="AK29" s="165"/>
      <c r="AL29" s="165"/>
      <c r="AM29" s="165"/>
      <c r="AN29" s="165"/>
      <c r="AO29" s="165"/>
      <c r="AQ29" s="152"/>
      <c r="AR29" s="152"/>
      <c r="AS29" s="152"/>
      <c r="AT29" s="152"/>
      <c r="AU29" s="152"/>
      <c r="AV29" s="152"/>
      <c r="AW29" s="152"/>
      <c r="AX29" s="152"/>
      <c r="AY29" s="152"/>
      <c r="AZ29" s="152"/>
      <c r="BB29" s="152"/>
      <c r="BC29" s="152"/>
      <c r="BD29" s="152"/>
      <c r="BE29" s="152"/>
      <c r="BF29" s="152"/>
      <c r="BG29" s="152"/>
      <c r="BH29" s="152"/>
      <c r="BI29" s="152"/>
      <c r="BJ29" s="152"/>
      <c r="BK29" s="152"/>
      <c r="BM29" s="152"/>
      <c r="BN29" s="152"/>
      <c r="BO29" s="152"/>
      <c r="BP29" s="152"/>
      <c r="BQ29" s="152"/>
      <c r="BR29" s="152"/>
      <c r="BS29" s="152"/>
      <c r="BT29" s="152"/>
      <c r="BU29" s="152"/>
      <c r="BV29" s="152"/>
      <c r="BX29" s="160"/>
      <c r="BY29" s="159"/>
      <c r="BZ29" s="159"/>
      <c r="CA29" s="159"/>
      <c r="CB29" s="159"/>
      <c r="CC29" s="159"/>
      <c r="CD29" s="159"/>
      <c r="CE29" s="159"/>
      <c r="CF29" s="159"/>
      <c r="CG29" s="159"/>
      <c r="CI29" s="128"/>
      <c r="CJ29" s="128"/>
      <c r="CK29" s="161"/>
      <c r="CL29" s="161"/>
      <c r="CM29" s="161"/>
      <c r="CN29" s="278"/>
      <c r="CO29" s="278"/>
      <c r="CP29" s="278"/>
      <c r="CQ29" s="278"/>
      <c r="CR29" s="278"/>
      <c r="CT29" s="25"/>
      <c r="CU29" s="168"/>
      <c r="CV29" s="168"/>
      <c r="CW29" s="168"/>
      <c r="CX29" s="168"/>
      <c r="CY29" s="168"/>
      <c r="CZ29" s="168"/>
      <c r="DA29" s="168"/>
      <c r="DB29" s="168"/>
      <c r="DC29" s="168"/>
      <c r="DE29" s="20"/>
      <c r="DF29" s="20"/>
      <c r="DG29" s="20"/>
      <c r="DH29" s="20"/>
      <c r="DI29" s="20"/>
      <c r="DJ29" s="20"/>
      <c r="DK29" s="20"/>
      <c r="DL29" s="20"/>
      <c r="DM29" s="20"/>
      <c r="DN29" s="20"/>
      <c r="DP29" s="20"/>
      <c r="DQ29" s="20"/>
      <c r="DR29" s="20"/>
      <c r="DS29" s="20"/>
      <c r="DT29" s="20"/>
      <c r="DU29" s="20"/>
      <c r="DV29" s="20"/>
      <c r="DW29" s="20"/>
      <c r="DX29" s="20"/>
      <c r="DY29" s="20"/>
      <c r="EA29" s="20"/>
      <c r="EB29" s="20"/>
      <c r="EC29" s="20"/>
      <c r="ED29" s="20"/>
      <c r="EE29" s="20"/>
      <c r="EF29" s="20"/>
      <c r="EG29" s="20"/>
      <c r="EH29" s="20"/>
      <c r="EI29" s="20"/>
      <c r="EJ29" s="20"/>
      <c r="EL29" s="152"/>
      <c r="EM29" s="152"/>
      <c r="EN29" s="152"/>
      <c r="EO29" s="152"/>
      <c r="EP29" s="152"/>
      <c r="EQ29" s="152"/>
      <c r="ER29" s="152"/>
      <c r="ES29" s="152"/>
      <c r="ET29" s="152"/>
      <c r="EV29" s="154"/>
      <c r="EW29" s="154"/>
      <c r="EX29" s="154"/>
      <c r="EY29" s="154"/>
      <c r="EZ29" s="154"/>
      <c r="FA29" s="154"/>
      <c r="FB29" s="154"/>
      <c r="FC29" s="154"/>
      <c r="FD29" s="154"/>
      <c r="FF29" s="154"/>
      <c r="FG29" s="154"/>
      <c r="FH29" s="127"/>
      <c r="FI29" s="127"/>
      <c r="FJ29" s="127"/>
      <c r="FK29" s="127"/>
      <c r="FL29" s="127"/>
      <c r="FM29" s="127"/>
      <c r="FN29" s="127"/>
      <c r="FO29" s="127"/>
      <c r="FQ29" s="20"/>
      <c r="FR29" s="20"/>
      <c r="FS29" s="128"/>
      <c r="FT29" s="128"/>
      <c r="FU29" s="128"/>
      <c r="FV29" s="128"/>
      <c r="FW29" s="128"/>
      <c r="FX29" s="128"/>
      <c r="FY29" s="128"/>
      <c r="FZ29" s="128"/>
    </row>
    <row r="30" spans="2:183" ht="13.5">
      <c r="B30" s="19"/>
      <c r="C30" s="19"/>
      <c r="D30" s="19"/>
      <c r="E30" s="151"/>
      <c r="F30" s="170"/>
      <c r="G30" s="151"/>
      <c r="H30" s="19"/>
      <c r="J30" s="152"/>
      <c r="K30" s="152"/>
      <c r="L30" s="152"/>
      <c r="M30" s="152"/>
      <c r="N30" s="152"/>
      <c r="O30" s="152"/>
      <c r="P30" s="152"/>
      <c r="Q30" s="152"/>
      <c r="R30" s="152"/>
      <c r="S30" s="152"/>
      <c r="U30" s="152"/>
      <c r="V30" s="152"/>
      <c r="W30" s="152"/>
      <c r="X30" s="152"/>
      <c r="Y30" s="152"/>
      <c r="Z30" s="152"/>
      <c r="AA30" s="152"/>
      <c r="AB30" s="152"/>
      <c r="AC30" s="152"/>
      <c r="AD30" s="152"/>
      <c r="AF30" s="165"/>
      <c r="AG30" s="165"/>
      <c r="AH30" s="165"/>
      <c r="AI30" s="165"/>
      <c r="AJ30" s="165"/>
      <c r="AK30" s="165"/>
      <c r="AL30" s="165"/>
      <c r="AM30" s="165"/>
      <c r="AN30" s="165"/>
      <c r="AO30" s="165"/>
      <c r="AQ30" s="152"/>
      <c r="AR30" s="152"/>
      <c r="AS30" s="152"/>
      <c r="AT30" s="152"/>
      <c r="AU30" s="152"/>
      <c r="AV30" s="152"/>
      <c r="AW30" s="152"/>
      <c r="AX30" s="152"/>
      <c r="AY30" s="152"/>
      <c r="AZ30" s="152"/>
      <c r="BB30" s="152"/>
      <c r="BC30" s="152"/>
      <c r="BD30" s="152"/>
      <c r="BE30" s="152"/>
      <c r="BF30" s="152"/>
      <c r="BG30" s="152"/>
      <c r="BH30" s="152"/>
      <c r="BI30" s="152"/>
      <c r="BJ30" s="152"/>
      <c r="BK30" s="152"/>
      <c r="BM30" s="152"/>
      <c r="BN30" s="152"/>
      <c r="BO30" s="152"/>
      <c r="BP30" s="152"/>
      <c r="BQ30" s="152"/>
      <c r="BR30" s="152"/>
      <c r="BS30" s="152"/>
      <c r="BT30" s="152"/>
      <c r="BU30" s="152"/>
      <c r="BV30" s="152"/>
      <c r="BX30" s="160"/>
      <c r="BY30" s="159"/>
      <c r="BZ30" s="159"/>
      <c r="CA30" s="159"/>
      <c r="CB30" s="159"/>
      <c r="CC30" s="159"/>
      <c r="CD30" s="159"/>
      <c r="CE30" s="159"/>
      <c r="CF30" s="159"/>
      <c r="CG30" s="159"/>
      <c r="CI30" s="128"/>
      <c r="CJ30" s="128"/>
      <c r="CK30" s="161"/>
      <c r="CL30" s="161"/>
      <c r="CM30" s="161"/>
      <c r="CN30" s="278"/>
      <c r="CO30" s="278"/>
      <c r="CP30" s="278"/>
      <c r="CQ30" s="278"/>
      <c r="CR30" s="278"/>
      <c r="CT30" s="25"/>
      <c r="CU30" s="168"/>
      <c r="CV30" s="168"/>
      <c r="CW30" s="168"/>
      <c r="CX30" s="168"/>
      <c r="CY30" s="168"/>
      <c r="CZ30" s="168"/>
      <c r="DA30" s="168"/>
      <c r="DB30" s="168"/>
      <c r="DC30" s="168"/>
      <c r="DE30" s="20"/>
      <c r="DF30" s="20"/>
      <c r="DG30" s="20"/>
      <c r="DH30" s="20"/>
      <c r="DI30" s="20"/>
      <c r="DJ30" s="20"/>
      <c r="DK30" s="20"/>
      <c r="DL30" s="20"/>
      <c r="DM30" s="20"/>
      <c r="DN30" s="20"/>
      <c r="DP30" s="20"/>
      <c r="DQ30" s="20"/>
      <c r="DR30" s="20"/>
      <c r="DS30" s="20"/>
      <c r="DT30" s="20"/>
      <c r="DU30" s="20"/>
      <c r="DV30" s="20"/>
      <c r="DW30" s="20"/>
      <c r="DX30" s="20"/>
      <c r="DY30" s="20"/>
      <c r="EA30" s="20"/>
      <c r="EB30" s="20"/>
      <c r="EC30" s="20"/>
      <c r="ED30" s="20"/>
      <c r="EE30" s="20"/>
      <c r="EF30" s="20"/>
      <c r="EG30" s="20"/>
      <c r="EH30" s="20"/>
      <c r="EI30" s="20"/>
      <c r="EJ30" s="20"/>
      <c r="EL30" s="152"/>
      <c r="EM30" s="152"/>
      <c r="EN30" s="152"/>
      <c r="EO30" s="152"/>
      <c r="EP30" s="152"/>
      <c r="EQ30" s="152"/>
      <c r="ER30" s="152"/>
      <c r="ES30" s="152"/>
      <c r="ET30" s="152"/>
      <c r="EV30" s="154"/>
      <c r="EW30" s="154"/>
      <c r="EX30" s="154"/>
      <c r="EY30" s="154"/>
      <c r="EZ30" s="154"/>
      <c r="FA30" s="154"/>
      <c r="FB30" s="154"/>
      <c r="FC30" s="154"/>
      <c r="FD30" s="154"/>
      <c r="FF30" s="154"/>
      <c r="FG30" s="154"/>
      <c r="FH30" s="127"/>
      <c r="FI30" s="127"/>
      <c r="FJ30" s="127"/>
      <c r="FK30" s="127"/>
      <c r="FL30" s="127"/>
      <c r="FM30" s="127"/>
      <c r="FN30" s="127"/>
      <c r="FO30" s="127"/>
      <c r="FQ30" s="20"/>
      <c r="FR30" s="20"/>
      <c r="FS30" s="128"/>
      <c r="FT30" s="128"/>
      <c r="FU30" s="128"/>
      <c r="FV30" s="128"/>
      <c r="FW30" s="128"/>
      <c r="FX30" s="128"/>
      <c r="FY30" s="128"/>
      <c r="FZ30" s="128"/>
    </row>
    <row r="31" spans="2:183" ht="13.5">
      <c r="B31" s="19"/>
      <c r="C31" s="19"/>
      <c r="D31" s="19"/>
      <c r="E31" s="151"/>
      <c r="F31" s="170"/>
      <c r="G31" s="151"/>
      <c r="H31" s="19"/>
      <c r="J31" s="152"/>
      <c r="K31" s="152"/>
      <c r="L31" s="152"/>
      <c r="M31" s="152"/>
      <c r="N31" s="152"/>
      <c r="O31" s="152"/>
      <c r="P31" s="152"/>
      <c r="Q31" s="152"/>
      <c r="R31" s="152"/>
      <c r="S31" s="152"/>
      <c r="U31" s="152"/>
      <c r="V31" s="152"/>
      <c r="W31" s="152"/>
      <c r="X31" s="152"/>
      <c r="Y31" s="152"/>
      <c r="Z31" s="152"/>
      <c r="AA31" s="152"/>
      <c r="AB31" s="152"/>
      <c r="AC31" s="152"/>
      <c r="AD31" s="152"/>
      <c r="AF31" s="165"/>
      <c r="AG31" s="165"/>
      <c r="AH31" s="165"/>
      <c r="AI31" s="165"/>
      <c r="AJ31" s="165"/>
      <c r="AK31" s="165"/>
      <c r="AL31" s="165"/>
      <c r="AM31" s="165"/>
      <c r="AN31" s="165"/>
      <c r="AO31" s="165"/>
      <c r="AQ31" s="152"/>
      <c r="AR31" s="152"/>
      <c r="AS31" s="152"/>
      <c r="AT31" s="152"/>
      <c r="AU31" s="152"/>
      <c r="AV31" s="152"/>
      <c r="AW31" s="152"/>
      <c r="AX31" s="152"/>
      <c r="AY31" s="152"/>
      <c r="AZ31" s="152"/>
      <c r="BB31" s="152"/>
      <c r="BC31" s="152"/>
      <c r="BD31" s="152"/>
      <c r="BE31" s="152"/>
      <c r="BF31" s="152"/>
      <c r="BG31" s="152"/>
      <c r="BH31" s="152"/>
      <c r="BI31" s="152"/>
      <c r="BJ31" s="152"/>
      <c r="BK31" s="152"/>
      <c r="BM31" s="152">
        <f t="shared" ref="BM31:BV43" si="33">(J31*U31*AF31*AQ31*BB31)/1000</f>
        <v>0</v>
      </c>
      <c r="BN31" s="152">
        <f t="shared" si="33"/>
        <v>0</v>
      </c>
      <c r="BO31" s="152">
        <f t="shared" si="33"/>
        <v>0</v>
      </c>
      <c r="BP31" s="152">
        <f t="shared" si="33"/>
        <v>0</v>
      </c>
      <c r="BQ31" s="152">
        <f t="shared" si="33"/>
        <v>0</v>
      </c>
      <c r="BR31" s="152">
        <f t="shared" si="33"/>
        <v>0</v>
      </c>
      <c r="BS31" s="152">
        <f t="shared" si="33"/>
        <v>0</v>
      </c>
      <c r="BT31" s="152">
        <f t="shared" si="33"/>
        <v>0</v>
      </c>
      <c r="BU31" s="152">
        <f t="shared" si="33"/>
        <v>0</v>
      </c>
      <c r="BV31" s="152">
        <f t="shared" si="33"/>
        <v>0</v>
      </c>
      <c r="BX31" s="160"/>
      <c r="BY31" s="159"/>
      <c r="BZ31" s="159"/>
      <c r="CA31" s="159"/>
      <c r="CB31" s="159"/>
      <c r="CC31" s="159"/>
      <c r="CD31" s="159"/>
      <c r="CE31" s="159"/>
      <c r="CF31" s="159"/>
      <c r="CG31" s="159"/>
      <c r="CI31" s="128">
        <f t="shared" ref="CI31:CR43" si="34">+BX31*BM31</f>
        <v>0</v>
      </c>
      <c r="CJ31" s="128">
        <f t="shared" si="34"/>
        <v>0</v>
      </c>
      <c r="CK31" s="161">
        <f t="shared" si="34"/>
        <v>0</v>
      </c>
      <c r="CL31" s="161">
        <f t="shared" si="34"/>
        <v>0</v>
      </c>
      <c r="CM31" s="161">
        <f t="shared" si="34"/>
        <v>0</v>
      </c>
      <c r="CN31" s="278">
        <f t="shared" si="34"/>
        <v>0</v>
      </c>
      <c r="CO31" s="278">
        <f t="shared" si="34"/>
        <v>0</v>
      </c>
      <c r="CP31" s="278">
        <f t="shared" si="34"/>
        <v>0</v>
      </c>
      <c r="CQ31" s="278">
        <f t="shared" si="34"/>
        <v>0</v>
      </c>
      <c r="CR31" s="278">
        <f t="shared" si="34"/>
        <v>0</v>
      </c>
      <c r="CT31" s="25"/>
      <c r="CU31" s="168"/>
      <c r="CV31" s="168"/>
      <c r="CW31" s="168"/>
      <c r="CX31" s="168"/>
      <c r="CY31" s="168"/>
      <c r="CZ31" s="168"/>
      <c r="DA31" s="168"/>
      <c r="DB31" s="168"/>
      <c r="DC31" s="168"/>
      <c r="DE31" s="20">
        <f t="shared" si="22"/>
        <v>0</v>
      </c>
      <c r="DF31" s="20">
        <f t="shared" si="22"/>
        <v>0</v>
      </c>
      <c r="DG31" s="20">
        <f t="shared" si="22"/>
        <v>0</v>
      </c>
      <c r="DH31" s="20">
        <f t="shared" si="22"/>
        <v>0</v>
      </c>
      <c r="DI31" s="20">
        <f t="shared" si="22"/>
        <v>0</v>
      </c>
      <c r="DJ31" s="20">
        <f t="shared" si="22"/>
        <v>0</v>
      </c>
      <c r="DK31" s="20">
        <f t="shared" si="22"/>
        <v>0</v>
      </c>
      <c r="DL31" s="20">
        <f t="shared" si="22"/>
        <v>0</v>
      </c>
      <c r="DM31" s="20">
        <f t="shared" si="22"/>
        <v>0</v>
      </c>
      <c r="DN31" s="20">
        <f t="shared" si="22"/>
        <v>0</v>
      </c>
      <c r="DP31" s="20"/>
      <c r="DQ31" s="20"/>
      <c r="DR31" s="20"/>
      <c r="DS31" s="20"/>
      <c r="DT31" s="20"/>
      <c r="DU31" s="20"/>
      <c r="DV31" s="20"/>
      <c r="DW31" s="20"/>
      <c r="DX31" s="20"/>
      <c r="DY31" s="20"/>
      <c r="EA31" s="20">
        <f t="shared" ref="EA31:EE43" si="35">CI31+DE31+DP31</f>
        <v>0</v>
      </c>
      <c r="EB31" s="20">
        <f t="shared" si="35"/>
        <v>0</v>
      </c>
      <c r="EC31" s="20">
        <f t="shared" si="35"/>
        <v>0</v>
      </c>
      <c r="ED31" s="20">
        <f t="shared" si="35"/>
        <v>0</v>
      </c>
      <c r="EE31" s="20">
        <f t="shared" si="35"/>
        <v>0</v>
      </c>
      <c r="EF31" s="20">
        <f t="shared" ref="EF31:EJ43" si="36">EE31*1.1</f>
        <v>0</v>
      </c>
      <c r="EG31" s="20">
        <f t="shared" si="36"/>
        <v>0</v>
      </c>
      <c r="EH31" s="20">
        <f t="shared" si="36"/>
        <v>0</v>
      </c>
      <c r="EI31" s="20">
        <f t="shared" si="36"/>
        <v>0</v>
      </c>
      <c r="EJ31" s="20">
        <f t="shared" si="36"/>
        <v>0</v>
      </c>
      <c r="EL31" s="152">
        <f t="shared" ref="EL31:ET43" si="37">BM31 * $E31*$F31*$G31</f>
        <v>0</v>
      </c>
      <c r="EM31" s="152">
        <f t="shared" si="37"/>
        <v>0</v>
      </c>
      <c r="EN31" s="152">
        <f t="shared" si="37"/>
        <v>0</v>
      </c>
      <c r="EO31" s="152">
        <f t="shared" si="37"/>
        <v>0</v>
      </c>
      <c r="EP31" s="152">
        <f t="shared" si="37"/>
        <v>0</v>
      </c>
      <c r="EQ31" s="152">
        <f t="shared" si="37"/>
        <v>0</v>
      </c>
      <c r="ER31" s="152">
        <f t="shared" si="37"/>
        <v>0</v>
      </c>
      <c r="ES31" s="152">
        <f t="shared" si="37"/>
        <v>0</v>
      </c>
      <c r="ET31" s="152">
        <f t="shared" si="37"/>
        <v>0</v>
      </c>
      <c r="EU31" s="8">
        <f t="shared" ref="EU31:EU43" si="38">IFERROR(EL31/EL$44, 0)</f>
        <v>0</v>
      </c>
      <c r="EV31" s="154">
        <f t="shared" si="26"/>
        <v>0</v>
      </c>
      <c r="EW31" s="154">
        <f t="shared" si="26"/>
        <v>0</v>
      </c>
      <c r="EX31" s="154">
        <f t="shared" si="26"/>
        <v>0</v>
      </c>
      <c r="EY31" s="154">
        <f t="shared" si="26"/>
        <v>0</v>
      </c>
      <c r="EZ31" s="154">
        <f t="shared" si="26"/>
        <v>0</v>
      </c>
      <c r="FA31" s="154">
        <f t="shared" si="26"/>
        <v>0</v>
      </c>
      <c r="FB31" s="154">
        <f t="shared" si="26"/>
        <v>0</v>
      </c>
      <c r="FC31" s="154">
        <f t="shared" si="26"/>
        <v>0</v>
      </c>
      <c r="FD31" s="154">
        <f t="shared" si="26"/>
        <v>0</v>
      </c>
      <c r="FF31" s="154"/>
      <c r="FG31" s="154"/>
      <c r="FH31" s="127"/>
      <c r="FI31" s="127"/>
      <c r="FJ31" s="127"/>
      <c r="FK31" s="127"/>
      <c r="FL31" s="127"/>
      <c r="FM31" s="127"/>
      <c r="FN31" s="127"/>
      <c r="FO31" s="127"/>
      <c r="FQ31" s="20">
        <f t="shared" ref="FQ31:FU43" si="39">EA31*(1-FF31)</f>
        <v>0</v>
      </c>
      <c r="FR31" s="20">
        <f t="shared" si="39"/>
        <v>0</v>
      </c>
      <c r="FS31" s="128">
        <f t="shared" si="39"/>
        <v>0</v>
      </c>
      <c r="FT31" s="128">
        <f t="shared" si="39"/>
        <v>0</v>
      </c>
      <c r="FU31" s="128">
        <f t="shared" si="39"/>
        <v>0</v>
      </c>
      <c r="FV31" s="128">
        <f t="shared" ref="FV31:FZ43" si="40">FU31*1.045</f>
        <v>0</v>
      </c>
      <c r="FW31" s="128">
        <f t="shared" si="40"/>
        <v>0</v>
      </c>
      <c r="FX31" s="128">
        <f t="shared" si="40"/>
        <v>0</v>
      </c>
      <c r="FY31" s="128">
        <f t="shared" si="40"/>
        <v>0</v>
      </c>
      <c r="FZ31" s="128">
        <f t="shared" si="40"/>
        <v>0</v>
      </c>
      <c r="GA31" s="8">
        <f t="shared" ref="GA31:GA43" si="41">FZ31*1.045</f>
        <v>0</v>
      </c>
    </row>
    <row r="32" spans="2:183" ht="13.5">
      <c r="B32" s="19"/>
      <c r="C32" s="19"/>
      <c r="D32" s="19"/>
      <c r="E32" s="151"/>
      <c r="F32" s="170"/>
      <c r="G32" s="151"/>
      <c r="H32" s="19"/>
      <c r="J32" s="152"/>
      <c r="K32" s="152"/>
      <c r="L32" s="152"/>
      <c r="M32" s="152"/>
      <c r="N32" s="152"/>
      <c r="O32" s="152"/>
      <c r="P32" s="152"/>
      <c r="Q32" s="152"/>
      <c r="R32" s="152"/>
      <c r="S32" s="152"/>
      <c r="U32" s="152"/>
      <c r="V32" s="152"/>
      <c r="W32" s="152"/>
      <c r="X32" s="152"/>
      <c r="Y32" s="152"/>
      <c r="Z32" s="152"/>
      <c r="AA32" s="152"/>
      <c r="AB32" s="152"/>
      <c r="AC32" s="152"/>
      <c r="AD32" s="152"/>
      <c r="AF32" s="165"/>
      <c r="AG32" s="165"/>
      <c r="AH32" s="165"/>
      <c r="AI32" s="165"/>
      <c r="AJ32" s="165"/>
      <c r="AK32" s="165"/>
      <c r="AL32" s="165"/>
      <c r="AM32" s="165"/>
      <c r="AN32" s="165"/>
      <c r="AO32" s="165"/>
      <c r="AQ32" s="152"/>
      <c r="AR32" s="152"/>
      <c r="AS32" s="152"/>
      <c r="AT32" s="152"/>
      <c r="AU32" s="152"/>
      <c r="AV32" s="152"/>
      <c r="AW32" s="152"/>
      <c r="AX32" s="152"/>
      <c r="AY32" s="152"/>
      <c r="AZ32" s="152"/>
      <c r="BB32" s="152"/>
      <c r="BC32" s="152"/>
      <c r="BD32" s="152"/>
      <c r="BE32" s="152"/>
      <c r="BF32" s="152"/>
      <c r="BG32" s="152"/>
      <c r="BH32" s="152"/>
      <c r="BI32" s="152"/>
      <c r="BJ32" s="152"/>
      <c r="BK32" s="152"/>
      <c r="BM32" s="152">
        <f t="shared" si="33"/>
        <v>0</v>
      </c>
      <c r="BN32" s="152">
        <f t="shared" si="33"/>
        <v>0</v>
      </c>
      <c r="BO32" s="152">
        <f t="shared" si="33"/>
        <v>0</v>
      </c>
      <c r="BP32" s="152">
        <f t="shared" si="33"/>
        <v>0</v>
      </c>
      <c r="BQ32" s="152">
        <f t="shared" si="33"/>
        <v>0</v>
      </c>
      <c r="BR32" s="152">
        <f t="shared" si="33"/>
        <v>0</v>
      </c>
      <c r="BS32" s="152">
        <f t="shared" si="33"/>
        <v>0</v>
      </c>
      <c r="BT32" s="152">
        <f t="shared" si="33"/>
        <v>0</v>
      </c>
      <c r="BU32" s="152">
        <f t="shared" si="33"/>
        <v>0</v>
      </c>
      <c r="BV32" s="152">
        <f t="shared" si="33"/>
        <v>0</v>
      </c>
      <c r="BX32" s="160"/>
      <c r="BY32" s="159"/>
      <c r="BZ32" s="159"/>
      <c r="CA32" s="159"/>
      <c r="CB32" s="159"/>
      <c r="CC32" s="159"/>
      <c r="CD32" s="159"/>
      <c r="CE32" s="159"/>
      <c r="CF32" s="159"/>
      <c r="CG32" s="159"/>
      <c r="CI32" s="128">
        <f t="shared" si="34"/>
        <v>0</v>
      </c>
      <c r="CJ32" s="128">
        <f t="shared" si="34"/>
        <v>0</v>
      </c>
      <c r="CK32" s="161">
        <f t="shared" si="34"/>
        <v>0</v>
      </c>
      <c r="CL32" s="161">
        <f t="shared" si="34"/>
        <v>0</v>
      </c>
      <c r="CM32" s="161">
        <f t="shared" si="34"/>
        <v>0</v>
      </c>
      <c r="CN32" s="278">
        <f t="shared" si="34"/>
        <v>0</v>
      </c>
      <c r="CO32" s="278">
        <f t="shared" si="34"/>
        <v>0</v>
      </c>
      <c r="CP32" s="278">
        <f t="shared" si="34"/>
        <v>0</v>
      </c>
      <c r="CQ32" s="278">
        <f t="shared" si="34"/>
        <v>0</v>
      </c>
      <c r="CR32" s="278">
        <f t="shared" si="34"/>
        <v>0</v>
      </c>
      <c r="CT32" s="25"/>
      <c r="CU32" s="168"/>
      <c r="CV32" s="168"/>
      <c r="CW32" s="168"/>
      <c r="CX32" s="168"/>
      <c r="CY32" s="168"/>
      <c r="CZ32" s="168"/>
      <c r="DA32" s="168"/>
      <c r="DB32" s="168"/>
      <c r="DC32" s="168"/>
      <c r="DE32" s="20">
        <f t="shared" si="22"/>
        <v>0</v>
      </c>
      <c r="DF32" s="20">
        <f t="shared" si="22"/>
        <v>0</v>
      </c>
      <c r="DG32" s="20">
        <f t="shared" si="22"/>
        <v>0</v>
      </c>
      <c r="DH32" s="20">
        <f t="shared" si="22"/>
        <v>0</v>
      </c>
      <c r="DI32" s="20">
        <f t="shared" si="22"/>
        <v>0</v>
      </c>
      <c r="DJ32" s="20">
        <f t="shared" si="22"/>
        <v>0</v>
      </c>
      <c r="DK32" s="20">
        <f t="shared" si="22"/>
        <v>0</v>
      </c>
      <c r="DL32" s="20">
        <f t="shared" si="22"/>
        <v>0</v>
      </c>
      <c r="DM32" s="20">
        <f t="shared" si="22"/>
        <v>0</v>
      </c>
      <c r="DN32" s="20">
        <f t="shared" si="22"/>
        <v>0</v>
      </c>
      <c r="DP32" s="20"/>
      <c r="DQ32" s="20"/>
      <c r="DR32" s="20"/>
      <c r="DS32" s="20"/>
      <c r="DT32" s="20"/>
      <c r="DU32" s="20"/>
      <c r="DV32" s="20"/>
      <c r="DW32" s="20"/>
      <c r="DX32" s="20"/>
      <c r="DY32" s="20"/>
      <c r="EA32" s="20">
        <f t="shared" si="35"/>
        <v>0</v>
      </c>
      <c r="EB32" s="20">
        <f t="shared" si="35"/>
        <v>0</v>
      </c>
      <c r="EC32" s="20">
        <f t="shared" si="35"/>
        <v>0</v>
      </c>
      <c r="ED32" s="20">
        <f t="shared" si="35"/>
        <v>0</v>
      </c>
      <c r="EE32" s="20">
        <f t="shared" si="35"/>
        <v>0</v>
      </c>
      <c r="EF32" s="20">
        <f t="shared" si="36"/>
        <v>0</v>
      </c>
      <c r="EG32" s="20">
        <f t="shared" si="36"/>
        <v>0</v>
      </c>
      <c r="EH32" s="20">
        <f t="shared" si="36"/>
        <v>0</v>
      </c>
      <c r="EI32" s="20">
        <f t="shared" si="36"/>
        <v>0</v>
      </c>
      <c r="EJ32" s="20">
        <f t="shared" si="36"/>
        <v>0</v>
      </c>
      <c r="EL32" s="152">
        <f t="shared" si="37"/>
        <v>0</v>
      </c>
      <c r="EM32" s="152">
        <f t="shared" si="37"/>
        <v>0</v>
      </c>
      <c r="EN32" s="152">
        <f t="shared" si="37"/>
        <v>0</v>
      </c>
      <c r="EO32" s="152">
        <f t="shared" si="37"/>
        <v>0</v>
      </c>
      <c r="EP32" s="152">
        <f t="shared" si="37"/>
        <v>0</v>
      </c>
      <c r="EQ32" s="152">
        <f t="shared" si="37"/>
        <v>0</v>
      </c>
      <c r="ER32" s="152">
        <f t="shared" si="37"/>
        <v>0</v>
      </c>
      <c r="ES32" s="152">
        <f t="shared" si="37"/>
        <v>0</v>
      </c>
      <c r="ET32" s="152">
        <f t="shared" si="37"/>
        <v>0</v>
      </c>
      <c r="EU32" s="8">
        <f t="shared" si="38"/>
        <v>0</v>
      </c>
      <c r="EV32" s="154">
        <f t="shared" si="26"/>
        <v>0</v>
      </c>
      <c r="EW32" s="154">
        <f t="shared" si="26"/>
        <v>0</v>
      </c>
      <c r="EX32" s="154">
        <f t="shared" si="26"/>
        <v>0</v>
      </c>
      <c r="EY32" s="154">
        <f t="shared" si="26"/>
        <v>0</v>
      </c>
      <c r="EZ32" s="154">
        <f t="shared" si="26"/>
        <v>0</v>
      </c>
      <c r="FA32" s="154">
        <f t="shared" si="26"/>
        <v>0</v>
      </c>
      <c r="FB32" s="154">
        <f t="shared" si="26"/>
        <v>0</v>
      </c>
      <c r="FC32" s="154">
        <f t="shared" si="26"/>
        <v>0</v>
      </c>
      <c r="FD32" s="154">
        <f t="shared" si="26"/>
        <v>0</v>
      </c>
      <c r="FF32" s="154"/>
      <c r="FG32" s="154"/>
      <c r="FH32" s="127"/>
      <c r="FI32" s="127"/>
      <c r="FJ32" s="127"/>
      <c r="FK32" s="127"/>
      <c r="FL32" s="127"/>
      <c r="FM32" s="127"/>
      <c r="FN32" s="127"/>
      <c r="FO32" s="127"/>
      <c r="FQ32" s="20">
        <f t="shared" si="39"/>
        <v>0</v>
      </c>
      <c r="FR32" s="20">
        <f t="shared" si="39"/>
        <v>0</v>
      </c>
      <c r="FS32" s="128">
        <f t="shared" si="39"/>
        <v>0</v>
      </c>
      <c r="FT32" s="128">
        <f t="shared" si="39"/>
        <v>0</v>
      </c>
      <c r="FU32" s="128">
        <f t="shared" si="39"/>
        <v>0</v>
      </c>
      <c r="FV32" s="128">
        <f t="shared" si="40"/>
        <v>0</v>
      </c>
      <c r="FW32" s="128">
        <f t="shared" si="40"/>
        <v>0</v>
      </c>
      <c r="FX32" s="128">
        <f t="shared" si="40"/>
        <v>0</v>
      </c>
      <c r="FY32" s="128">
        <f t="shared" si="40"/>
        <v>0</v>
      </c>
      <c r="FZ32" s="128">
        <f t="shared" si="40"/>
        <v>0</v>
      </c>
      <c r="GA32" s="8">
        <f t="shared" si="41"/>
        <v>0</v>
      </c>
    </row>
    <row r="33" spans="2:183" ht="13.5">
      <c r="B33" s="19"/>
      <c r="C33" s="19"/>
      <c r="D33" s="19"/>
      <c r="E33" s="151"/>
      <c r="F33" s="170"/>
      <c r="G33" s="151"/>
      <c r="H33" s="19"/>
      <c r="J33" s="152"/>
      <c r="K33" s="152"/>
      <c r="L33" s="152"/>
      <c r="M33" s="152"/>
      <c r="N33" s="152"/>
      <c r="O33" s="152"/>
      <c r="P33" s="152"/>
      <c r="Q33" s="152"/>
      <c r="R33" s="152"/>
      <c r="S33" s="152"/>
      <c r="U33" s="152"/>
      <c r="V33" s="152"/>
      <c r="W33" s="152"/>
      <c r="X33" s="152"/>
      <c r="Y33" s="152"/>
      <c r="Z33" s="152"/>
      <c r="AA33" s="152"/>
      <c r="AB33" s="152"/>
      <c r="AC33" s="152"/>
      <c r="AD33" s="152"/>
      <c r="AF33" s="165"/>
      <c r="AG33" s="165"/>
      <c r="AH33" s="165"/>
      <c r="AI33" s="165"/>
      <c r="AJ33" s="165"/>
      <c r="AK33" s="165"/>
      <c r="AL33" s="165"/>
      <c r="AM33" s="165"/>
      <c r="AN33" s="165"/>
      <c r="AO33" s="165"/>
      <c r="AQ33" s="152"/>
      <c r="AR33" s="152"/>
      <c r="AS33" s="152"/>
      <c r="AT33" s="152"/>
      <c r="AU33" s="152"/>
      <c r="AV33" s="152"/>
      <c r="AW33" s="152"/>
      <c r="AX33" s="152"/>
      <c r="AY33" s="152"/>
      <c r="AZ33" s="152"/>
      <c r="BB33" s="152"/>
      <c r="BC33" s="152"/>
      <c r="BD33" s="152"/>
      <c r="BE33" s="152"/>
      <c r="BF33" s="152"/>
      <c r="BG33" s="152"/>
      <c r="BH33" s="152"/>
      <c r="BI33" s="152"/>
      <c r="BJ33" s="152"/>
      <c r="BK33" s="152"/>
      <c r="BM33" s="152">
        <f t="shared" si="33"/>
        <v>0</v>
      </c>
      <c r="BN33" s="152">
        <f t="shared" si="33"/>
        <v>0</v>
      </c>
      <c r="BO33" s="152">
        <f t="shared" si="33"/>
        <v>0</v>
      </c>
      <c r="BP33" s="152">
        <f t="shared" si="33"/>
        <v>0</v>
      </c>
      <c r="BQ33" s="152">
        <f t="shared" si="33"/>
        <v>0</v>
      </c>
      <c r="BR33" s="152">
        <f t="shared" si="33"/>
        <v>0</v>
      </c>
      <c r="BS33" s="152">
        <f t="shared" si="33"/>
        <v>0</v>
      </c>
      <c r="BT33" s="152">
        <f t="shared" si="33"/>
        <v>0</v>
      </c>
      <c r="BU33" s="152">
        <f t="shared" si="33"/>
        <v>0</v>
      </c>
      <c r="BV33" s="152">
        <f t="shared" si="33"/>
        <v>0</v>
      </c>
      <c r="BX33" s="160"/>
      <c r="BY33" s="159"/>
      <c r="BZ33" s="159"/>
      <c r="CA33" s="159"/>
      <c r="CB33" s="159"/>
      <c r="CC33" s="159"/>
      <c r="CD33" s="159"/>
      <c r="CE33" s="159"/>
      <c r="CF33" s="159"/>
      <c r="CG33" s="159"/>
      <c r="CI33" s="128">
        <f t="shared" si="34"/>
        <v>0</v>
      </c>
      <c r="CJ33" s="128">
        <f t="shared" si="34"/>
        <v>0</v>
      </c>
      <c r="CK33" s="161">
        <f t="shared" si="34"/>
        <v>0</v>
      </c>
      <c r="CL33" s="161">
        <f t="shared" si="34"/>
        <v>0</v>
      </c>
      <c r="CM33" s="161">
        <f t="shared" si="34"/>
        <v>0</v>
      </c>
      <c r="CN33" s="278">
        <f t="shared" si="34"/>
        <v>0</v>
      </c>
      <c r="CO33" s="278">
        <f t="shared" si="34"/>
        <v>0</v>
      </c>
      <c r="CP33" s="278">
        <f t="shared" si="34"/>
        <v>0</v>
      </c>
      <c r="CQ33" s="278">
        <f t="shared" si="34"/>
        <v>0</v>
      </c>
      <c r="CR33" s="278">
        <f t="shared" si="34"/>
        <v>0</v>
      </c>
      <c r="CT33" s="25"/>
      <c r="CU33" s="168"/>
      <c r="CV33" s="168"/>
      <c r="CW33" s="168"/>
      <c r="CX33" s="168"/>
      <c r="CY33" s="168"/>
      <c r="CZ33" s="168"/>
      <c r="DA33" s="168"/>
      <c r="DB33" s="168"/>
      <c r="DC33" s="168"/>
      <c r="DE33" s="20">
        <f t="shared" si="22"/>
        <v>0</v>
      </c>
      <c r="DF33" s="20">
        <f t="shared" si="22"/>
        <v>0</v>
      </c>
      <c r="DG33" s="20">
        <f t="shared" si="22"/>
        <v>0</v>
      </c>
      <c r="DH33" s="20">
        <f t="shared" si="22"/>
        <v>0</v>
      </c>
      <c r="DI33" s="20">
        <f t="shared" si="22"/>
        <v>0</v>
      </c>
      <c r="DJ33" s="20">
        <f t="shared" si="22"/>
        <v>0</v>
      </c>
      <c r="DK33" s="20">
        <f t="shared" si="22"/>
        <v>0</v>
      </c>
      <c r="DL33" s="20">
        <f t="shared" si="22"/>
        <v>0</v>
      </c>
      <c r="DM33" s="20">
        <f t="shared" si="22"/>
        <v>0</v>
      </c>
      <c r="DN33" s="20">
        <f t="shared" si="22"/>
        <v>0</v>
      </c>
      <c r="DP33" s="20"/>
      <c r="DQ33" s="20"/>
      <c r="DR33" s="20"/>
      <c r="DS33" s="20"/>
      <c r="DT33" s="20"/>
      <c r="DU33" s="20"/>
      <c r="DV33" s="20"/>
      <c r="DW33" s="20"/>
      <c r="DX33" s="20"/>
      <c r="DY33" s="20"/>
      <c r="EA33" s="20">
        <f t="shared" si="35"/>
        <v>0</v>
      </c>
      <c r="EB33" s="20">
        <f t="shared" si="35"/>
        <v>0</v>
      </c>
      <c r="EC33" s="20">
        <f t="shared" si="35"/>
        <v>0</v>
      </c>
      <c r="ED33" s="20">
        <f t="shared" si="35"/>
        <v>0</v>
      </c>
      <c r="EE33" s="20">
        <f t="shared" si="35"/>
        <v>0</v>
      </c>
      <c r="EF33" s="20">
        <f t="shared" si="36"/>
        <v>0</v>
      </c>
      <c r="EG33" s="20">
        <f t="shared" si="36"/>
        <v>0</v>
      </c>
      <c r="EH33" s="20">
        <f t="shared" si="36"/>
        <v>0</v>
      </c>
      <c r="EI33" s="20">
        <f t="shared" si="36"/>
        <v>0</v>
      </c>
      <c r="EJ33" s="20">
        <f t="shared" si="36"/>
        <v>0</v>
      </c>
      <c r="EL33" s="152">
        <f t="shared" si="37"/>
        <v>0</v>
      </c>
      <c r="EM33" s="152">
        <f t="shared" si="37"/>
        <v>0</v>
      </c>
      <c r="EN33" s="152">
        <f t="shared" si="37"/>
        <v>0</v>
      </c>
      <c r="EO33" s="152">
        <f t="shared" si="37"/>
        <v>0</v>
      </c>
      <c r="EP33" s="152">
        <f t="shared" si="37"/>
        <v>0</v>
      </c>
      <c r="EQ33" s="152">
        <f t="shared" si="37"/>
        <v>0</v>
      </c>
      <c r="ER33" s="152">
        <f t="shared" si="37"/>
        <v>0</v>
      </c>
      <c r="ES33" s="152">
        <f t="shared" si="37"/>
        <v>0</v>
      </c>
      <c r="ET33" s="152">
        <f t="shared" si="37"/>
        <v>0</v>
      </c>
      <c r="EU33" s="8">
        <f t="shared" si="38"/>
        <v>0</v>
      </c>
      <c r="EV33" s="154">
        <f t="shared" si="26"/>
        <v>0</v>
      </c>
      <c r="EW33" s="154">
        <f t="shared" si="26"/>
        <v>0</v>
      </c>
      <c r="EX33" s="154">
        <f t="shared" si="26"/>
        <v>0</v>
      </c>
      <c r="EY33" s="154">
        <f t="shared" si="26"/>
        <v>0</v>
      </c>
      <c r="EZ33" s="154">
        <f t="shared" si="26"/>
        <v>0</v>
      </c>
      <c r="FA33" s="154">
        <f t="shared" si="26"/>
        <v>0</v>
      </c>
      <c r="FB33" s="154">
        <f t="shared" si="26"/>
        <v>0</v>
      </c>
      <c r="FC33" s="154">
        <f t="shared" si="26"/>
        <v>0</v>
      </c>
      <c r="FD33" s="154">
        <f t="shared" si="26"/>
        <v>0</v>
      </c>
      <c r="FF33" s="154"/>
      <c r="FG33" s="154"/>
      <c r="FH33" s="127"/>
      <c r="FI33" s="127"/>
      <c r="FJ33" s="127"/>
      <c r="FK33" s="127"/>
      <c r="FL33" s="127"/>
      <c r="FM33" s="127"/>
      <c r="FN33" s="127"/>
      <c r="FO33" s="127"/>
      <c r="FQ33" s="20">
        <f t="shared" si="39"/>
        <v>0</v>
      </c>
      <c r="FR33" s="20">
        <f t="shared" si="39"/>
        <v>0</v>
      </c>
      <c r="FS33" s="128">
        <f t="shared" si="39"/>
        <v>0</v>
      </c>
      <c r="FT33" s="128">
        <f t="shared" si="39"/>
        <v>0</v>
      </c>
      <c r="FU33" s="128">
        <f t="shared" si="39"/>
        <v>0</v>
      </c>
      <c r="FV33" s="128">
        <f t="shared" si="40"/>
        <v>0</v>
      </c>
      <c r="FW33" s="128">
        <f t="shared" si="40"/>
        <v>0</v>
      </c>
      <c r="FX33" s="128">
        <f t="shared" si="40"/>
        <v>0</v>
      </c>
      <c r="FY33" s="128">
        <f t="shared" si="40"/>
        <v>0</v>
      </c>
      <c r="FZ33" s="128">
        <f t="shared" si="40"/>
        <v>0</v>
      </c>
      <c r="GA33" s="8">
        <f t="shared" si="41"/>
        <v>0</v>
      </c>
    </row>
    <row r="34" spans="2:183" ht="13.5">
      <c r="B34" s="19"/>
      <c r="C34" s="19"/>
      <c r="D34" s="19"/>
      <c r="E34" s="151"/>
      <c r="F34" s="170"/>
      <c r="G34" s="151"/>
      <c r="H34" s="19"/>
      <c r="J34" s="152"/>
      <c r="K34" s="152"/>
      <c r="L34" s="152"/>
      <c r="M34" s="152"/>
      <c r="N34" s="152"/>
      <c r="O34" s="152"/>
      <c r="P34" s="152"/>
      <c r="Q34" s="152"/>
      <c r="R34" s="152"/>
      <c r="S34" s="152"/>
      <c r="U34" s="152"/>
      <c r="V34" s="152"/>
      <c r="W34" s="152"/>
      <c r="X34" s="152"/>
      <c r="Y34" s="152"/>
      <c r="Z34" s="152"/>
      <c r="AA34" s="152"/>
      <c r="AB34" s="152"/>
      <c r="AC34" s="152"/>
      <c r="AD34" s="152"/>
      <c r="AF34" s="165"/>
      <c r="AG34" s="165"/>
      <c r="AH34" s="165"/>
      <c r="AI34" s="165"/>
      <c r="AJ34" s="165"/>
      <c r="AK34" s="165"/>
      <c r="AL34" s="165"/>
      <c r="AM34" s="165"/>
      <c r="AN34" s="165"/>
      <c r="AO34" s="165"/>
      <c r="AQ34" s="152"/>
      <c r="AR34" s="152"/>
      <c r="AS34" s="152"/>
      <c r="AT34" s="152"/>
      <c r="AU34" s="152"/>
      <c r="AV34" s="152"/>
      <c r="AW34" s="152"/>
      <c r="AX34" s="152"/>
      <c r="AY34" s="152"/>
      <c r="AZ34" s="152"/>
      <c r="BB34" s="152"/>
      <c r="BC34" s="152"/>
      <c r="BD34" s="152"/>
      <c r="BE34" s="152"/>
      <c r="BF34" s="152"/>
      <c r="BG34" s="152"/>
      <c r="BH34" s="152"/>
      <c r="BI34" s="152"/>
      <c r="BJ34" s="152"/>
      <c r="BK34" s="152"/>
      <c r="BM34" s="152">
        <f t="shared" si="33"/>
        <v>0</v>
      </c>
      <c r="BN34" s="152">
        <f t="shared" si="33"/>
        <v>0</v>
      </c>
      <c r="BO34" s="152">
        <f t="shared" si="33"/>
        <v>0</v>
      </c>
      <c r="BP34" s="152">
        <f t="shared" si="33"/>
        <v>0</v>
      </c>
      <c r="BQ34" s="152">
        <f t="shared" si="33"/>
        <v>0</v>
      </c>
      <c r="BR34" s="152">
        <f t="shared" si="33"/>
        <v>0</v>
      </c>
      <c r="BS34" s="152">
        <f t="shared" si="33"/>
        <v>0</v>
      </c>
      <c r="BT34" s="152">
        <f t="shared" si="33"/>
        <v>0</v>
      </c>
      <c r="BU34" s="152">
        <f t="shared" si="33"/>
        <v>0</v>
      </c>
      <c r="BV34" s="152">
        <f t="shared" si="33"/>
        <v>0</v>
      </c>
      <c r="BX34" s="160"/>
      <c r="BY34" s="159"/>
      <c r="BZ34" s="159"/>
      <c r="CA34" s="159"/>
      <c r="CB34" s="159"/>
      <c r="CC34" s="159"/>
      <c r="CD34" s="159"/>
      <c r="CE34" s="159"/>
      <c r="CF34" s="159"/>
      <c r="CG34" s="159"/>
      <c r="CI34" s="128">
        <f t="shared" si="34"/>
        <v>0</v>
      </c>
      <c r="CJ34" s="128">
        <f t="shared" si="34"/>
        <v>0</v>
      </c>
      <c r="CK34" s="161">
        <f t="shared" si="34"/>
        <v>0</v>
      </c>
      <c r="CL34" s="161">
        <f t="shared" si="34"/>
        <v>0</v>
      </c>
      <c r="CM34" s="161">
        <f t="shared" si="34"/>
        <v>0</v>
      </c>
      <c r="CN34" s="278">
        <f t="shared" si="34"/>
        <v>0</v>
      </c>
      <c r="CO34" s="278">
        <f t="shared" si="34"/>
        <v>0</v>
      </c>
      <c r="CP34" s="278">
        <f t="shared" si="34"/>
        <v>0</v>
      </c>
      <c r="CQ34" s="278">
        <f t="shared" si="34"/>
        <v>0</v>
      </c>
      <c r="CR34" s="278">
        <f t="shared" si="34"/>
        <v>0</v>
      </c>
      <c r="CT34" s="25"/>
      <c r="CU34" s="168"/>
      <c r="CV34" s="168"/>
      <c r="CW34" s="168"/>
      <c r="CX34" s="168"/>
      <c r="CY34" s="168"/>
      <c r="CZ34" s="168"/>
      <c r="DA34" s="168"/>
      <c r="DB34" s="168"/>
      <c r="DC34" s="168"/>
      <c r="DE34" s="20">
        <f t="shared" si="22"/>
        <v>0</v>
      </c>
      <c r="DF34" s="20">
        <f t="shared" si="22"/>
        <v>0</v>
      </c>
      <c r="DG34" s="20">
        <f t="shared" si="22"/>
        <v>0</v>
      </c>
      <c r="DH34" s="20">
        <f t="shared" si="22"/>
        <v>0</v>
      </c>
      <c r="DI34" s="20">
        <f t="shared" si="22"/>
        <v>0</v>
      </c>
      <c r="DJ34" s="20">
        <f t="shared" si="22"/>
        <v>0</v>
      </c>
      <c r="DK34" s="20">
        <f t="shared" si="22"/>
        <v>0</v>
      </c>
      <c r="DL34" s="20">
        <f t="shared" si="22"/>
        <v>0</v>
      </c>
      <c r="DM34" s="20">
        <f t="shared" si="22"/>
        <v>0</v>
      </c>
      <c r="DN34" s="20">
        <f t="shared" si="22"/>
        <v>0</v>
      </c>
      <c r="DP34" s="20"/>
      <c r="DQ34" s="20"/>
      <c r="DR34" s="20"/>
      <c r="DS34" s="20"/>
      <c r="DT34" s="20"/>
      <c r="DU34" s="20"/>
      <c r="DV34" s="20"/>
      <c r="DW34" s="20"/>
      <c r="DX34" s="20"/>
      <c r="DY34" s="20"/>
      <c r="EA34" s="20">
        <f t="shared" si="35"/>
        <v>0</v>
      </c>
      <c r="EB34" s="20">
        <f t="shared" si="35"/>
        <v>0</v>
      </c>
      <c r="EC34" s="20">
        <f t="shared" si="35"/>
        <v>0</v>
      </c>
      <c r="ED34" s="20">
        <f t="shared" si="35"/>
        <v>0</v>
      </c>
      <c r="EE34" s="20">
        <f t="shared" si="35"/>
        <v>0</v>
      </c>
      <c r="EF34" s="20">
        <f t="shared" si="36"/>
        <v>0</v>
      </c>
      <c r="EG34" s="20">
        <f t="shared" si="36"/>
        <v>0</v>
      </c>
      <c r="EH34" s="20">
        <f t="shared" si="36"/>
        <v>0</v>
      </c>
      <c r="EI34" s="20">
        <f t="shared" si="36"/>
        <v>0</v>
      </c>
      <c r="EJ34" s="20">
        <f t="shared" si="36"/>
        <v>0</v>
      </c>
      <c r="EL34" s="152">
        <f t="shared" si="37"/>
        <v>0</v>
      </c>
      <c r="EM34" s="152">
        <f t="shared" si="37"/>
        <v>0</v>
      </c>
      <c r="EN34" s="152">
        <f t="shared" si="37"/>
        <v>0</v>
      </c>
      <c r="EO34" s="152">
        <f t="shared" si="37"/>
        <v>0</v>
      </c>
      <c r="EP34" s="152">
        <f t="shared" si="37"/>
        <v>0</v>
      </c>
      <c r="EQ34" s="152">
        <f t="shared" si="37"/>
        <v>0</v>
      </c>
      <c r="ER34" s="152">
        <f t="shared" si="37"/>
        <v>0</v>
      </c>
      <c r="ES34" s="152">
        <f t="shared" si="37"/>
        <v>0</v>
      </c>
      <c r="ET34" s="152">
        <f t="shared" si="37"/>
        <v>0</v>
      </c>
      <c r="EU34" s="8">
        <f t="shared" si="38"/>
        <v>0</v>
      </c>
      <c r="EV34" s="154">
        <f t="shared" si="26"/>
        <v>0</v>
      </c>
      <c r="EW34" s="154">
        <f t="shared" si="26"/>
        <v>0</v>
      </c>
      <c r="EX34" s="154">
        <f t="shared" si="26"/>
        <v>0</v>
      </c>
      <c r="EY34" s="154">
        <f t="shared" si="26"/>
        <v>0</v>
      </c>
      <c r="EZ34" s="154">
        <f t="shared" si="26"/>
        <v>0</v>
      </c>
      <c r="FA34" s="154">
        <f t="shared" si="26"/>
        <v>0</v>
      </c>
      <c r="FB34" s="154">
        <f t="shared" si="26"/>
        <v>0</v>
      </c>
      <c r="FC34" s="154">
        <f t="shared" si="26"/>
        <v>0</v>
      </c>
      <c r="FD34" s="154">
        <f t="shared" si="26"/>
        <v>0</v>
      </c>
      <c r="FF34" s="154"/>
      <c r="FG34" s="154"/>
      <c r="FH34" s="127"/>
      <c r="FI34" s="127"/>
      <c r="FJ34" s="127"/>
      <c r="FK34" s="127"/>
      <c r="FL34" s="127"/>
      <c r="FM34" s="127"/>
      <c r="FN34" s="127"/>
      <c r="FO34" s="127"/>
      <c r="FQ34" s="20">
        <f t="shared" si="39"/>
        <v>0</v>
      </c>
      <c r="FR34" s="20">
        <f t="shared" si="39"/>
        <v>0</v>
      </c>
      <c r="FS34" s="128">
        <f t="shared" si="39"/>
        <v>0</v>
      </c>
      <c r="FT34" s="128">
        <f t="shared" si="39"/>
        <v>0</v>
      </c>
      <c r="FU34" s="128">
        <f t="shared" si="39"/>
        <v>0</v>
      </c>
      <c r="FV34" s="128">
        <f t="shared" si="40"/>
        <v>0</v>
      </c>
      <c r="FW34" s="128">
        <f t="shared" si="40"/>
        <v>0</v>
      </c>
      <c r="FX34" s="128">
        <f t="shared" si="40"/>
        <v>0</v>
      </c>
      <c r="FY34" s="128">
        <f t="shared" si="40"/>
        <v>0</v>
      </c>
      <c r="FZ34" s="128">
        <f t="shared" si="40"/>
        <v>0</v>
      </c>
      <c r="GA34" s="8">
        <f t="shared" si="41"/>
        <v>0</v>
      </c>
    </row>
    <row r="35" spans="2:183" ht="13.5">
      <c r="B35" s="19"/>
      <c r="C35" s="19"/>
      <c r="D35" s="19"/>
      <c r="E35" s="151"/>
      <c r="F35" s="170"/>
      <c r="G35" s="151"/>
      <c r="H35" s="19"/>
      <c r="J35" s="152"/>
      <c r="K35" s="152"/>
      <c r="L35" s="152"/>
      <c r="M35" s="152"/>
      <c r="N35" s="152"/>
      <c r="O35" s="152"/>
      <c r="P35" s="152"/>
      <c r="Q35" s="152"/>
      <c r="R35" s="152"/>
      <c r="S35" s="152"/>
      <c r="U35" s="152"/>
      <c r="V35" s="152"/>
      <c r="W35" s="152"/>
      <c r="X35" s="152"/>
      <c r="Y35" s="152"/>
      <c r="Z35" s="152"/>
      <c r="AA35" s="152"/>
      <c r="AB35" s="152"/>
      <c r="AC35" s="152"/>
      <c r="AD35" s="152"/>
      <c r="AF35" s="165"/>
      <c r="AG35" s="165"/>
      <c r="AH35" s="165"/>
      <c r="AI35" s="165"/>
      <c r="AJ35" s="165"/>
      <c r="AK35" s="165"/>
      <c r="AL35" s="165"/>
      <c r="AM35" s="165"/>
      <c r="AN35" s="165"/>
      <c r="AO35" s="165"/>
      <c r="AQ35" s="152"/>
      <c r="AR35" s="152"/>
      <c r="AS35" s="152"/>
      <c r="AT35" s="152"/>
      <c r="AU35" s="152"/>
      <c r="AV35" s="152"/>
      <c r="AW35" s="152"/>
      <c r="AX35" s="152"/>
      <c r="AY35" s="152"/>
      <c r="AZ35" s="152"/>
      <c r="BB35" s="152"/>
      <c r="BC35" s="152"/>
      <c r="BD35" s="152"/>
      <c r="BE35" s="152"/>
      <c r="BF35" s="152"/>
      <c r="BG35" s="152"/>
      <c r="BH35" s="152"/>
      <c r="BI35" s="152"/>
      <c r="BJ35" s="152"/>
      <c r="BK35" s="152"/>
      <c r="BM35" s="152">
        <f t="shared" si="33"/>
        <v>0</v>
      </c>
      <c r="BN35" s="152">
        <f t="shared" si="33"/>
        <v>0</v>
      </c>
      <c r="BO35" s="152">
        <f t="shared" si="33"/>
        <v>0</v>
      </c>
      <c r="BP35" s="152">
        <f t="shared" si="33"/>
        <v>0</v>
      </c>
      <c r="BQ35" s="152">
        <f t="shared" si="33"/>
        <v>0</v>
      </c>
      <c r="BR35" s="152">
        <f t="shared" si="33"/>
        <v>0</v>
      </c>
      <c r="BS35" s="152">
        <f t="shared" si="33"/>
        <v>0</v>
      </c>
      <c r="BT35" s="152">
        <f t="shared" si="33"/>
        <v>0</v>
      </c>
      <c r="BU35" s="152">
        <f t="shared" si="33"/>
        <v>0</v>
      </c>
      <c r="BV35" s="152">
        <f t="shared" si="33"/>
        <v>0</v>
      </c>
      <c r="BX35" s="160"/>
      <c r="BY35" s="159"/>
      <c r="BZ35" s="159"/>
      <c r="CA35" s="159"/>
      <c r="CB35" s="159"/>
      <c r="CC35" s="159"/>
      <c r="CD35" s="159"/>
      <c r="CE35" s="159"/>
      <c r="CF35" s="159"/>
      <c r="CG35" s="159"/>
      <c r="CI35" s="128">
        <f t="shared" si="34"/>
        <v>0</v>
      </c>
      <c r="CJ35" s="128">
        <f t="shared" si="34"/>
        <v>0</v>
      </c>
      <c r="CK35" s="161">
        <f t="shared" si="34"/>
        <v>0</v>
      </c>
      <c r="CL35" s="161">
        <f t="shared" si="34"/>
        <v>0</v>
      </c>
      <c r="CM35" s="161">
        <f t="shared" si="34"/>
        <v>0</v>
      </c>
      <c r="CN35" s="278">
        <f t="shared" si="34"/>
        <v>0</v>
      </c>
      <c r="CO35" s="278">
        <f t="shared" si="34"/>
        <v>0</v>
      </c>
      <c r="CP35" s="278">
        <f t="shared" si="34"/>
        <v>0</v>
      </c>
      <c r="CQ35" s="278">
        <f t="shared" si="34"/>
        <v>0</v>
      </c>
      <c r="CR35" s="278">
        <f t="shared" si="34"/>
        <v>0</v>
      </c>
      <c r="CT35" s="25"/>
      <c r="CU35" s="168"/>
      <c r="CV35" s="168"/>
      <c r="CW35" s="168"/>
      <c r="CX35" s="168"/>
      <c r="CY35" s="168"/>
      <c r="CZ35" s="168"/>
      <c r="DA35" s="168"/>
      <c r="DB35" s="168"/>
      <c r="DC35" s="168"/>
      <c r="DE35" s="20">
        <f t="shared" si="22"/>
        <v>0</v>
      </c>
      <c r="DF35" s="20">
        <f t="shared" si="22"/>
        <v>0</v>
      </c>
      <c r="DG35" s="20">
        <f t="shared" si="22"/>
        <v>0</v>
      </c>
      <c r="DH35" s="20">
        <f t="shared" si="22"/>
        <v>0</v>
      </c>
      <c r="DI35" s="20">
        <f t="shared" si="22"/>
        <v>0</v>
      </c>
      <c r="DJ35" s="20">
        <f t="shared" si="22"/>
        <v>0</v>
      </c>
      <c r="DK35" s="20">
        <f t="shared" si="22"/>
        <v>0</v>
      </c>
      <c r="DL35" s="20">
        <f t="shared" si="22"/>
        <v>0</v>
      </c>
      <c r="DM35" s="20">
        <f t="shared" si="22"/>
        <v>0</v>
      </c>
      <c r="DN35" s="20">
        <f t="shared" si="22"/>
        <v>0</v>
      </c>
      <c r="DP35" s="20"/>
      <c r="DQ35" s="20"/>
      <c r="DR35" s="20"/>
      <c r="DS35" s="20"/>
      <c r="DT35" s="20"/>
      <c r="DU35" s="20"/>
      <c r="DV35" s="20"/>
      <c r="DW35" s="20"/>
      <c r="DX35" s="20"/>
      <c r="DY35" s="20"/>
      <c r="EA35" s="20">
        <f t="shared" si="35"/>
        <v>0</v>
      </c>
      <c r="EB35" s="20">
        <f t="shared" si="35"/>
        <v>0</v>
      </c>
      <c r="EC35" s="20">
        <f t="shared" si="35"/>
        <v>0</v>
      </c>
      <c r="ED35" s="20">
        <f t="shared" si="35"/>
        <v>0</v>
      </c>
      <c r="EE35" s="20">
        <f t="shared" si="35"/>
        <v>0</v>
      </c>
      <c r="EF35" s="20">
        <f t="shared" si="36"/>
        <v>0</v>
      </c>
      <c r="EG35" s="20">
        <f t="shared" si="36"/>
        <v>0</v>
      </c>
      <c r="EH35" s="20">
        <f t="shared" si="36"/>
        <v>0</v>
      </c>
      <c r="EI35" s="20">
        <f t="shared" si="36"/>
        <v>0</v>
      </c>
      <c r="EJ35" s="20">
        <f t="shared" si="36"/>
        <v>0</v>
      </c>
      <c r="EL35" s="152">
        <f t="shared" si="37"/>
        <v>0</v>
      </c>
      <c r="EM35" s="152">
        <f t="shared" si="37"/>
        <v>0</v>
      </c>
      <c r="EN35" s="152">
        <f t="shared" si="37"/>
        <v>0</v>
      </c>
      <c r="EO35" s="152">
        <f t="shared" si="37"/>
        <v>0</v>
      </c>
      <c r="EP35" s="152">
        <f t="shared" si="37"/>
        <v>0</v>
      </c>
      <c r="EQ35" s="152">
        <f t="shared" si="37"/>
        <v>0</v>
      </c>
      <c r="ER35" s="152">
        <f t="shared" si="37"/>
        <v>0</v>
      </c>
      <c r="ES35" s="152">
        <f t="shared" si="37"/>
        <v>0</v>
      </c>
      <c r="ET35" s="152">
        <f t="shared" si="37"/>
        <v>0</v>
      </c>
      <c r="EU35" s="8">
        <f t="shared" si="38"/>
        <v>0</v>
      </c>
      <c r="EV35" s="154">
        <f t="shared" si="26"/>
        <v>0</v>
      </c>
      <c r="EW35" s="154">
        <f t="shared" si="26"/>
        <v>0</v>
      </c>
      <c r="EX35" s="154">
        <f t="shared" si="26"/>
        <v>0</v>
      </c>
      <c r="EY35" s="154">
        <f t="shared" si="26"/>
        <v>0</v>
      </c>
      <c r="EZ35" s="154">
        <f t="shared" si="26"/>
        <v>0</v>
      </c>
      <c r="FA35" s="154">
        <f t="shared" si="26"/>
        <v>0</v>
      </c>
      <c r="FB35" s="154">
        <f t="shared" si="26"/>
        <v>0</v>
      </c>
      <c r="FC35" s="154">
        <f t="shared" si="26"/>
        <v>0</v>
      </c>
      <c r="FD35" s="154">
        <f t="shared" si="26"/>
        <v>0</v>
      </c>
      <c r="FF35" s="154"/>
      <c r="FG35" s="154"/>
      <c r="FH35" s="127"/>
      <c r="FI35" s="127"/>
      <c r="FJ35" s="127"/>
      <c r="FK35" s="127"/>
      <c r="FL35" s="127"/>
      <c r="FM35" s="127"/>
      <c r="FN35" s="127"/>
      <c r="FO35" s="127"/>
      <c r="FQ35" s="20">
        <f t="shared" si="39"/>
        <v>0</v>
      </c>
      <c r="FR35" s="20">
        <f t="shared" si="39"/>
        <v>0</v>
      </c>
      <c r="FS35" s="128">
        <f t="shared" si="39"/>
        <v>0</v>
      </c>
      <c r="FT35" s="128">
        <f t="shared" si="39"/>
        <v>0</v>
      </c>
      <c r="FU35" s="128">
        <f t="shared" si="39"/>
        <v>0</v>
      </c>
      <c r="FV35" s="128">
        <f t="shared" si="40"/>
        <v>0</v>
      </c>
      <c r="FW35" s="128">
        <f t="shared" si="40"/>
        <v>0</v>
      </c>
      <c r="FX35" s="128">
        <f t="shared" si="40"/>
        <v>0</v>
      </c>
      <c r="FY35" s="128">
        <f t="shared" si="40"/>
        <v>0</v>
      </c>
      <c r="FZ35" s="128">
        <f t="shared" si="40"/>
        <v>0</v>
      </c>
      <c r="GA35" s="8">
        <f t="shared" si="41"/>
        <v>0</v>
      </c>
    </row>
    <row r="36" spans="2:183" ht="13.5">
      <c r="B36" s="19"/>
      <c r="C36" s="19"/>
      <c r="D36" s="19"/>
      <c r="E36" s="151"/>
      <c r="F36" s="170"/>
      <c r="G36" s="151"/>
      <c r="H36" s="19"/>
      <c r="J36" s="152"/>
      <c r="K36" s="152"/>
      <c r="L36" s="152"/>
      <c r="M36" s="152"/>
      <c r="N36" s="152"/>
      <c r="O36" s="152"/>
      <c r="P36" s="152"/>
      <c r="Q36" s="152"/>
      <c r="R36" s="152"/>
      <c r="S36" s="152"/>
      <c r="U36" s="152"/>
      <c r="V36" s="152"/>
      <c r="W36" s="152"/>
      <c r="X36" s="152"/>
      <c r="Y36" s="152"/>
      <c r="Z36" s="152"/>
      <c r="AA36" s="152"/>
      <c r="AB36" s="152"/>
      <c r="AC36" s="152"/>
      <c r="AD36" s="152"/>
      <c r="AF36" s="165"/>
      <c r="AG36" s="165"/>
      <c r="AH36" s="165"/>
      <c r="AI36" s="165"/>
      <c r="AJ36" s="165"/>
      <c r="AK36" s="165"/>
      <c r="AL36" s="165"/>
      <c r="AM36" s="165"/>
      <c r="AN36" s="165"/>
      <c r="AO36" s="165"/>
      <c r="AQ36" s="152"/>
      <c r="AR36" s="152"/>
      <c r="AS36" s="152"/>
      <c r="AT36" s="152"/>
      <c r="AU36" s="152"/>
      <c r="AV36" s="152"/>
      <c r="AW36" s="152"/>
      <c r="AX36" s="152"/>
      <c r="AY36" s="152"/>
      <c r="AZ36" s="152"/>
      <c r="BB36" s="152"/>
      <c r="BC36" s="152"/>
      <c r="BD36" s="152"/>
      <c r="BE36" s="152"/>
      <c r="BF36" s="152"/>
      <c r="BG36" s="152"/>
      <c r="BH36" s="152"/>
      <c r="BI36" s="152"/>
      <c r="BJ36" s="152"/>
      <c r="BK36" s="152"/>
      <c r="BM36" s="152">
        <f t="shared" si="33"/>
        <v>0</v>
      </c>
      <c r="BN36" s="152">
        <f t="shared" si="33"/>
        <v>0</v>
      </c>
      <c r="BO36" s="152">
        <f t="shared" si="33"/>
        <v>0</v>
      </c>
      <c r="BP36" s="152">
        <f t="shared" si="33"/>
        <v>0</v>
      </c>
      <c r="BQ36" s="152">
        <f t="shared" si="33"/>
        <v>0</v>
      </c>
      <c r="BR36" s="152">
        <f t="shared" si="33"/>
        <v>0</v>
      </c>
      <c r="BS36" s="152">
        <f t="shared" si="33"/>
        <v>0</v>
      </c>
      <c r="BT36" s="152">
        <f t="shared" si="33"/>
        <v>0</v>
      </c>
      <c r="BU36" s="152">
        <f t="shared" si="33"/>
        <v>0</v>
      </c>
      <c r="BV36" s="152">
        <f t="shared" si="33"/>
        <v>0</v>
      </c>
      <c r="BX36" s="160"/>
      <c r="BY36" s="159"/>
      <c r="BZ36" s="159"/>
      <c r="CA36" s="159"/>
      <c r="CB36" s="159"/>
      <c r="CC36" s="159"/>
      <c r="CD36" s="159"/>
      <c r="CE36" s="159"/>
      <c r="CF36" s="159"/>
      <c r="CG36" s="159"/>
      <c r="CI36" s="128">
        <f t="shared" si="34"/>
        <v>0</v>
      </c>
      <c r="CJ36" s="128">
        <f t="shared" si="34"/>
        <v>0</v>
      </c>
      <c r="CK36" s="161">
        <f t="shared" si="34"/>
        <v>0</v>
      </c>
      <c r="CL36" s="161">
        <f t="shared" si="34"/>
        <v>0</v>
      </c>
      <c r="CM36" s="161">
        <f t="shared" si="34"/>
        <v>0</v>
      </c>
      <c r="CN36" s="278">
        <f t="shared" si="34"/>
        <v>0</v>
      </c>
      <c r="CO36" s="278">
        <f t="shared" si="34"/>
        <v>0</v>
      </c>
      <c r="CP36" s="278">
        <f t="shared" si="34"/>
        <v>0</v>
      </c>
      <c r="CQ36" s="278">
        <f t="shared" si="34"/>
        <v>0</v>
      </c>
      <c r="CR36" s="278">
        <f t="shared" si="34"/>
        <v>0</v>
      </c>
      <c r="CT36" s="25"/>
      <c r="CU36" s="168"/>
      <c r="CV36" s="168"/>
      <c r="CW36" s="168"/>
      <c r="CX36" s="168"/>
      <c r="CY36" s="168"/>
      <c r="CZ36" s="168"/>
      <c r="DA36" s="168"/>
      <c r="DB36" s="168"/>
      <c r="DC36" s="168"/>
      <c r="DE36" s="20">
        <f t="shared" si="22"/>
        <v>0</v>
      </c>
      <c r="DF36" s="20">
        <f t="shared" si="22"/>
        <v>0</v>
      </c>
      <c r="DG36" s="20">
        <f t="shared" si="22"/>
        <v>0</v>
      </c>
      <c r="DH36" s="20">
        <f t="shared" si="22"/>
        <v>0</v>
      </c>
      <c r="DI36" s="20">
        <f t="shared" si="22"/>
        <v>0</v>
      </c>
      <c r="DJ36" s="20">
        <f t="shared" si="22"/>
        <v>0</v>
      </c>
      <c r="DK36" s="20">
        <f t="shared" si="22"/>
        <v>0</v>
      </c>
      <c r="DL36" s="20">
        <f t="shared" si="22"/>
        <v>0</v>
      </c>
      <c r="DM36" s="20">
        <f t="shared" si="22"/>
        <v>0</v>
      </c>
      <c r="DN36" s="20">
        <f t="shared" si="22"/>
        <v>0</v>
      </c>
      <c r="DP36" s="20"/>
      <c r="DQ36" s="20"/>
      <c r="DR36" s="20"/>
      <c r="DS36" s="20"/>
      <c r="DT36" s="20"/>
      <c r="DU36" s="20"/>
      <c r="DV36" s="20"/>
      <c r="DW36" s="20"/>
      <c r="DX36" s="20"/>
      <c r="DY36" s="20"/>
      <c r="EA36" s="20">
        <f t="shared" si="35"/>
        <v>0</v>
      </c>
      <c r="EB36" s="20">
        <f t="shared" si="35"/>
        <v>0</v>
      </c>
      <c r="EC36" s="20">
        <f t="shared" si="35"/>
        <v>0</v>
      </c>
      <c r="ED36" s="20">
        <f t="shared" si="35"/>
        <v>0</v>
      </c>
      <c r="EE36" s="20">
        <f t="shared" si="35"/>
        <v>0</v>
      </c>
      <c r="EF36" s="20">
        <f t="shared" si="36"/>
        <v>0</v>
      </c>
      <c r="EG36" s="20">
        <f t="shared" si="36"/>
        <v>0</v>
      </c>
      <c r="EH36" s="20">
        <f t="shared" si="36"/>
        <v>0</v>
      </c>
      <c r="EI36" s="20">
        <f t="shared" si="36"/>
        <v>0</v>
      </c>
      <c r="EJ36" s="20">
        <f t="shared" si="36"/>
        <v>0</v>
      </c>
      <c r="EL36" s="152">
        <f t="shared" si="37"/>
        <v>0</v>
      </c>
      <c r="EM36" s="152">
        <f t="shared" si="37"/>
        <v>0</v>
      </c>
      <c r="EN36" s="152">
        <f t="shared" si="37"/>
        <v>0</v>
      </c>
      <c r="EO36" s="152">
        <f t="shared" si="37"/>
        <v>0</v>
      </c>
      <c r="EP36" s="152">
        <f t="shared" si="37"/>
        <v>0</v>
      </c>
      <c r="EQ36" s="152">
        <f t="shared" si="37"/>
        <v>0</v>
      </c>
      <c r="ER36" s="152">
        <f t="shared" si="37"/>
        <v>0</v>
      </c>
      <c r="ES36" s="152">
        <f t="shared" si="37"/>
        <v>0</v>
      </c>
      <c r="ET36" s="152">
        <f t="shared" si="37"/>
        <v>0</v>
      </c>
      <c r="EU36" s="8">
        <f t="shared" si="38"/>
        <v>0</v>
      </c>
      <c r="EV36" s="154">
        <f t="shared" si="26"/>
        <v>0</v>
      </c>
      <c r="EW36" s="154">
        <f t="shared" si="26"/>
        <v>0</v>
      </c>
      <c r="EX36" s="154">
        <f t="shared" si="26"/>
        <v>0</v>
      </c>
      <c r="EY36" s="154">
        <f t="shared" si="26"/>
        <v>0</v>
      </c>
      <c r="EZ36" s="154">
        <f t="shared" si="26"/>
        <v>0</v>
      </c>
      <c r="FA36" s="154">
        <f t="shared" si="26"/>
        <v>0</v>
      </c>
      <c r="FB36" s="154">
        <f t="shared" si="26"/>
        <v>0</v>
      </c>
      <c r="FC36" s="154">
        <f t="shared" si="26"/>
        <v>0</v>
      </c>
      <c r="FD36" s="154">
        <f t="shared" si="26"/>
        <v>0</v>
      </c>
      <c r="FF36" s="154"/>
      <c r="FG36" s="154"/>
      <c r="FH36" s="127"/>
      <c r="FI36" s="127"/>
      <c r="FJ36" s="127"/>
      <c r="FK36" s="127"/>
      <c r="FL36" s="127"/>
      <c r="FM36" s="127"/>
      <c r="FN36" s="127"/>
      <c r="FO36" s="127"/>
      <c r="FQ36" s="20">
        <f t="shared" si="39"/>
        <v>0</v>
      </c>
      <c r="FR36" s="20">
        <f t="shared" si="39"/>
        <v>0</v>
      </c>
      <c r="FS36" s="128">
        <f t="shared" si="39"/>
        <v>0</v>
      </c>
      <c r="FT36" s="128">
        <f t="shared" si="39"/>
        <v>0</v>
      </c>
      <c r="FU36" s="128">
        <f t="shared" si="39"/>
        <v>0</v>
      </c>
      <c r="FV36" s="128">
        <f t="shared" si="40"/>
        <v>0</v>
      </c>
      <c r="FW36" s="128">
        <f t="shared" si="40"/>
        <v>0</v>
      </c>
      <c r="FX36" s="128">
        <f t="shared" si="40"/>
        <v>0</v>
      </c>
      <c r="FY36" s="128">
        <f t="shared" si="40"/>
        <v>0</v>
      </c>
      <c r="FZ36" s="128">
        <f t="shared" si="40"/>
        <v>0</v>
      </c>
      <c r="GA36" s="8">
        <f t="shared" si="41"/>
        <v>0</v>
      </c>
    </row>
    <row r="37" spans="2:183" ht="13.5">
      <c r="B37" s="19"/>
      <c r="C37" s="19"/>
      <c r="D37" s="19"/>
      <c r="E37" s="151"/>
      <c r="F37" s="170"/>
      <c r="G37" s="151"/>
      <c r="H37" s="19"/>
      <c r="J37" s="152"/>
      <c r="K37" s="152"/>
      <c r="L37" s="152"/>
      <c r="M37" s="152"/>
      <c r="N37" s="152"/>
      <c r="O37" s="152"/>
      <c r="P37" s="152"/>
      <c r="Q37" s="152"/>
      <c r="R37" s="152"/>
      <c r="S37" s="152"/>
      <c r="U37" s="152"/>
      <c r="V37" s="152"/>
      <c r="W37" s="152"/>
      <c r="X37" s="152"/>
      <c r="Y37" s="152"/>
      <c r="Z37" s="152"/>
      <c r="AA37" s="152"/>
      <c r="AB37" s="152"/>
      <c r="AC37" s="152"/>
      <c r="AD37" s="152"/>
      <c r="AF37" s="165"/>
      <c r="AG37" s="165"/>
      <c r="AH37" s="165"/>
      <c r="AI37" s="165"/>
      <c r="AJ37" s="165"/>
      <c r="AK37" s="165"/>
      <c r="AL37" s="165"/>
      <c r="AM37" s="165"/>
      <c r="AN37" s="165"/>
      <c r="AO37" s="165"/>
      <c r="AQ37" s="152"/>
      <c r="AR37" s="152"/>
      <c r="AS37" s="152"/>
      <c r="AT37" s="152"/>
      <c r="AU37" s="152"/>
      <c r="AV37" s="152"/>
      <c r="AW37" s="152"/>
      <c r="AX37" s="152"/>
      <c r="AY37" s="152"/>
      <c r="AZ37" s="152"/>
      <c r="BB37" s="152"/>
      <c r="BC37" s="152"/>
      <c r="BD37" s="152"/>
      <c r="BE37" s="152"/>
      <c r="BF37" s="152"/>
      <c r="BG37" s="152"/>
      <c r="BH37" s="152"/>
      <c r="BI37" s="152"/>
      <c r="BJ37" s="152"/>
      <c r="BK37" s="152"/>
      <c r="BM37" s="152">
        <f t="shared" si="33"/>
        <v>0</v>
      </c>
      <c r="BN37" s="152">
        <f t="shared" si="33"/>
        <v>0</v>
      </c>
      <c r="BO37" s="152">
        <f t="shared" si="33"/>
        <v>0</v>
      </c>
      <c r="BP37" s="152">
        <f t="shared" si="33"/>
        <v>0</v>
      </c>
      <c r="BQ37" s="152">
        <f t="shared" si="33"/>
        <v>0</v>
      </c>
      <c r="BR37" s="152">
        <f t="shared" si="33"/>
        <v>0</v>
      </c>
      <c r="BS37" s="152">
        <f t="shared" si="33"/>
        <v>0</v>
      </c>
      <c r="BT37" s="152">
        <f t="shared" si="33"/>
        <v>0</v>
      </c>
      <c r="BU37" s="152">
        <f t="shared" si="33"/>
        <v>0</v>
      </c>
      <c r="BV37" s="152">
        <f t="shared" si="33"/>
        <v>0</v>
      </c>
      <c r="BX37" s="160"/>
      <c r="BY37" s="159"/>
      <c r="BZ37" s="159"/>
      <c r="CA37" s="159"/>
      <c r="CB37" s="159"/>
      <c r="CC37" s="159"/>
      <c r="CD37" s="159"/>
      <c r="CE37" s="159"/>
      <c r="CF37" s="159"/>
      <c r="CG37" s="159"/>
      <c r="CI37" s="128">
        <f t="shared" si="34"/>
        <v>0</v>
      </c>
      <c r="CJ37" s="128">
        <f t="shared" si="34"/>
        <v>0</v>
      </c>
      <c r="CK37" s="161">
        <f t="shared" si="34"/>
        <v>0</v>
      </c>
      <c r="CL37" s="161">
        <f t="shared" si="34"/>
        <v>0</v>
      </c>
      <c r="CM37" s="161">
        <f t="shared" si="34"/>
        <v>0</v>
      </c>
      <c r="CN37" s="278">
        <f t="shared" si="34"/>
        <v>0</v>
      </c>
      <c r="CO37" s="278">
        <f t="shared" si="34"/>
        <v>0</v>
      </c>
      <c r="CP37" s="278">
        <f t="shared" si="34"/>
        <v>0</v>
      </c>
      <c r="CQ37" s="278">
        <f t="shared" si="34"/>
        <v>0</v>
      </c>
      <c r="CR37" s="278">
        <f t="shared" si="34"/>
        <v>0</v>
      </c>
      <c r="CT37" s="25"/>
      <c r="CU37" s="168"/>
      <c r="CV37" s="168"/>
      <c r="CW37" s="168"/>
      <c r="CX37" s="168"/>
      <c r="CY37" s="168"/>
      <c r="CZ37" s="168"/>
      <c r="DA37" s="168"/>
      <c r="DB37" s="168"/>
      <c r="DC37" s="168"/>
      <c r="DE37" s="20">
        <f t="shared" si="22"/>
        <v>0</v>
      </c>
      <c r="DF37" s="20">
        <f t="shared" si="22"/>
        <v>0</v>
      </c>
      <c r="DG37" s="20">
        <f t="shared" si="22"/>
        <v>0</v>
      </c>
      <c r="DH37" s="20">
        <f t="shared" si="22"/>
        <v>0</v>
      </c>
      <c r="DI37" s="20">
        <f t="shared" si="22"/>
        <v>0</v>
      </c>
      <c r="DJ37" s="20">
        <f t="shared" si="22"/>
        <v>0</v>
      </c>
      <c r="DK37" s="20">
        <f t="shared" si="22"/>
        <v>0</v>
      </c>
      <c r="DL37" s="20">
        <f t="shared" si="22"/>
        <v>0</v>
      </c>
      <c r="DM37" s="20">
        <f t="shared" si="22"/>
        <v>0</v>
      </c>
      <c r="DN37" s="20">
        <f t="shared" si="22"/>
        <v>0</v>
      </c>
      <c r="DP37" s="20"/>
      <c r="DQ37" s="20"/>
      <c r="DR37" s="20"/>
      <c r="DS37" s="20"/>
      <c r="DT37" s="20"/>
      <c r="DU37" s="20"/>
      <c r="DV37" s="20"/>
      <c r="DW37" s="20"/>
      <c r="DX37" s="20"/>
      <c r="DY37" s="20"/>
      <c r="EA37" s="20">
        <f t="shared" si="35"/>
        <v>0</v>
      </c>
      <c r="EB37" s="20">
        <f t="shared" si="35"/>
        <v>0</v>
      </c>
      <c r="EC37" s="20">
        <f t="shared" si="35"/>
        <v>0</v>
      </c>
      <c r="ED37" s="20">
        <f t="shared" si="35"/>
        <v>0</v>
      </c>
      <c r="EE37" s="20">
        <f t="shared" si="35"/>
        <v>0</v>
      </c>
      <c r="EF37" s="20">
        <f t="shared" si="36"/>
        <v>0</v>
      </c>
      <c r="EG37" s="20">
        <f t="shared" si="36"/>
        <v>0</v>
      </c>
      <c r="EH37" s="20">
        <f t="shared" si="36"/>
        <v>0</v>
      </c>
      <c r="EI37" s="20">
        <f t="shared" si="36"/>
        <v>0</v>
      </c>
      <c r="EJ37" s="20">
        <f t="shared" si="36"/>
        <v>0</v>
      </c>
      <c r="EL37" s="152">
        <f t="shared" si="37"/>
        <v>0</v>
      </c>
      <c r="EM37" s="152">
        <f t="shared" si="37"/>
        <v>0</v>
      </c>
      <c r="EN37" s="152">
        <f t="shared" si="37"/>
        <v>0</v>
      </c>
      <c r="EO37" s="152">
        <f t="shared" si="37"/>
        <v>0</v>
      </c>
      <c r="EP37" s="152">
        <f t="shared" si="37"/>
        <v>0</v>
      </c>
      <c r="EQ37" s="152">
        <f t="shared" si="37"/>
        <v>0</v>
      </c>
      <c r="ER37" s="152">
        <f t="shared" si="37"/>
        <v>0</v>
      </c>
      <c r="ES37" s="152">
        <f t="shared" si="37"/>
        <v>0</v>
      </c>
      <c r="ET37" s="152">
        <f t="shared" si="37"/>
        <v>0</v>
      </c>
      <c r="EU37" s="8">
        <f t="shared" si="38"/>
        <v>0</v>
      </c>
      <c r="EV37" s="154">
        <f t="shared" si="26"/>
        <v>0</v>
      </c>
      <c r="EW37" s="154">
        <f t="shared" si="26"/>
        <v>0</v>
      </c>
      <c r="EX37" s="154">
        <f t="shared" si="26"/>
        <v>0</v>
      </c>
      <c r="EY37" s="154">
        <f t="shared" si="26"/>
        <v>0</v>
      </c>
      <c r="EZ37" s="154">
        <f t="shared" si="26"/>
        <v>0</v>
      </c>
      <c r="FA37" s="154">
        <f t="shared" si="26"/>
        <v>0</v>
      </c>
      <c r="FB37" s="154">
        <f t="shared" si="26"/>
        <v>0</v>
      </c>
      <c r="FC37" s="154">
        <f t="shared" si="26"/>
        <v>0</v>
      </c>
      <c r="FD37" s="154">
        <f t="shared" si="26"/>
        <v>0</v>
      </c>
      <c r="FF37" s="154"/>
      <c r="FG37" s="154"/>
      <c r="FH37" s="127"/>
      <c r="FI37" s="127"/>
      <c r="FJ37" s="127"/>
      <c r="FK37" s="127"/>
      <c r="FL37" s="127"/>
      <c r="FM37" s="127"/>
      <c r="FN37" s="127"/>
      <c r="FO37" s="127"/>
      <c r="FQ37" s="20">
        <f t="shared" si="39"/>
        <v>0</v>
      </c>
      <c r="FR37" s="20">
        <f t="shared" si="39"/>
        <v>0</v>
      </c>
      <c r="FS37" s="128">
        <f t="shared" si="39"/>
        <v>0</v>
      </c>
      <c r="FT37" s="128">
        <f t="shared" si="39"/>
        <v>0</v>
      </c>
      <c r="FU37" s="128">
        <f t="shared" si="39"/>
        <v>0</v>
      </c>
      <c r="FV37" s="128">
        <f t="shared" si="40"/>
        <v>0</v>
      </c>
      <c r="FW37" s="128">
        <f t="shared" si="40"/>
        <v>0</v>
      </c>
      <c r="FX37" s="128">
        <f t="shared" si="40"/>
        <v>0</v>
      </c>
      <c r="FY37" s="128">
        <f t="shared" si="40"/>
        <v>0</v>
      </c>
      <c r="FZ37" s="128">
        <f t="shared" si="40"/>
        <v>0</v>
      </c>
      <c r="GA37" s="8">
        <f t="shared" si="41"/>
        <v>0</v>
      </c>
    </row>
    <row r="38" spans="2:183" ht="13.5">
      <c r="B38" s="19"/>
      <c r="C38" s="19"/>
      <c r="D38" s="19"/>
      <c r="E38" s="151"/>
      <c r="F38" s="170"/>
      <c r="G38" s="151"/>
      <c r="H38" s="19"/>
      <c r="J38" s="152"/>
      <c r="K38" s="152"/>
      <c r="L38" s="152"/>
      <c r="M38" s="152"/>
      <c r="N38" s="152"/>
      <c r="O38" s="152"/>
      <c r="P38" s="152"/>
      <c r="Q38" s="152"/>
      <c r="R38" s="152"/>
      <c r="S38" s="152"/>
      <c r="U38" s="152"/>
      <c r="V38" s="152"/>
      <c r="W38" s="152"/>
      <c r="X38" s="152"/>
      <c r="Y38" s="152"/>
      <c r="Z38" s="152"/>
      <c r="AA38" s="152"/>
      <c r="AB38" s="152"/>
      <c r="AC38" s="152"/>
      <c r="AD38" s="152"/>
      <c r="AF38" s="165"/>
      <c r="AG38" s="165"/>
      <c r="AH38" s="165"/>
      <c r="AI38" s="165"/>
      <c r="AJ38" s="165"/>
      <c r="AK38" s="165"/>
      <c r="AL38" s="165"/>
      <c r="AM38" s="165"/>
      <c r="AN38" s="165"/>
      <c r="AO38" s="165"/>
      <c r="AQ38" s="152"/>
      <c r="AR38" s="152"/>
      <c r="AS38" s="152"/>
      <c r="AT38" s="152"/>
      <c r="AU38" s="152"/>
      <c r="AV38" s="152"/>
      <c r="AW38" s="152"/>
      <c r="AX38" s="152"/>
      <c r="AY38" s="152"/>
      <c r="AZ38" s="152"/>
      <c r="BB38" s="152"/>
      <c r="BC38" s="152"/>
      <c r="BD38" s="152"/>
      <c r="BE38" s="152"/>
      <c r="BF38" s="152"/>
      <c r="BG38" s="152"/>
      <c r="BH38" s="152"/>
      <c r="BI38" s="152"/>
      <c r="BJ38" s="152"/>
      <c r="BK38" s="152"/>
      <c r="BM38" s="152">
        <f t="shared" si="33"/>
        <v>0</v>
      </c>
      <c r="BN38" s="152">
        <f t="shared" si="33"/>
        <v>0</v>
      </c>
      <c r="BO38" s="152">
        <f t="shared" si="33"/>
        <v>0</v>
      </c>
      <c r="BP38" s="152">
        <f t="shared" si="33"/>
        <v>0</v>
      </c>
      <c r="BQ38" s="152">
        <f t="shared" si="33"/>
        <v>0</v>
      </c>
      <c r="BR38" s="152">
        <f t="shared" si="33"/>
        <v>0</v>
      </c>
      <c r="BS38" s="152">
        <f t="shared" si="33"/>
        <v>0</v>
      </c>
      <c r="BT38" s="152">
        <f t="shared" si="33"/>
        <v>0</v>
      </c>
      <c r="BU38" s="152">
        <f t="shared" si="33"/>
        <v>0</v>
      </c>
      <c r="BV38" s="152">
        <f t="shared" si="33"/>
        <v>0</v>
      </c>
      <c r="BX38" s="160"/>
      <c r="BY38" s="159"/>
      <c r="BZ38" s="159"/>
      <c r="CA38" s="159"/>
      <c r="CB38" s="159"/>
      <c r="CC38" s="159"/>
      <c r="CD38" s="159"/>
      <c r="CE38" s="159"/>
      <c r="CF38" s="159"/>
      <c r="CG38" s="159"/>
      <c r="CI38" s="128">
        <f t="shared" si="34"/>
        <v>0</v>
      </c>
      <c r="CJ38" s="128">
        <f t="shared" si="34"/>
        <v>0</v>
      </c>
      <c r="CK38" s="161">
        <f t="shared" si="34"/>
        <v>0</v>
      </c>
      <c r="CL38" s="161">
        <f t="shared" si="34"/>
        <v>0</v>
      </c>
      <c r="CM38" s="161">
        <f t="shared" si="34"/>
        <v>0</v>
      </c>
      <c r="CN38" s="278">
        <f t="shared" si="34"/>
        <v>0</v>
      </c>
      <c r="CO38" s="278">
        <f t="shared" si="34"/>
        <v>0</v>
      </c>
      <c r="CP38" s="278">
        <f t="shared" si="34"/>
        <v>0</v>
      </c>
      <c r="CQ38" s="278">
        <f t="shared" si="34"/>
        <v>0</v>
      </c>
      <c r="CR38" s="278">
        <f t="shared" si="34"/>
        <v>0</v>
      </c>
      <c r="CT38" s="25"/>
      <c r="CU38" s="168"/>
      <c r="CV38" s="168"/>
      <c r="CW38" s="168"/>
      <c r="CX38" s="168"/>
      <c r="CY38" s="168"/>
      <c r="CZ38" s="168"/>
      <c r="DA38" s="168"/>
      <c r="DB38" s="168"/>
      <c r="DC38" s="168"/>
      <c r="DE38" s="20">
        <f t="shared" si="22"/>
        <v>0</v>
      </c>
      <c r="DF38" s="20">
        <f t="shared" si="22"/>
        <v>0</v>
      </c>
      <c r="DG38" s="20">
        <f t="shared" si="22"/>
        <v>0</v>
      </c>
      <c r="DH38" s="20">
        <f t="shared" si="22"/>
        <v>0</v>
      </c>
      <c r="DI38" s="20">
        <f t="shared" si="22"/>
        <v>0</v>
      </c>
      <c r="DJ38" s="20">
        <f t="shared" si="22"/>
        <v>0</v>
      </c>
      <c r="DK38" s="20">
        <f t="shared" si="22"/>
        <v>0</v>
      </c>
      <c r="DL38" s="20">
        <f t="shared" si="22"/>
        <v>0</v>
      </c>
      <c r="DM38" s="20">
        <f t="shared" si="22"/>
        <v>0</v>
      </c>
      <c r="DN38" s="20">
        <f t="shared" si="22"/>
        <v>0</v>
      </c>
      <c r="DP38" s="20"/>
      <c r="DQ38" s="20"/>
      <c r="DR38" s="20"/>
      <c r="DS38" s="20"/>
      <c r="DT38" s="20"/>
      <c r="DU38" s="20"/>
      <c r="DV38" s="20"/>
      <c r="DW38" s="20"/>
      <c r="DX38" s="20"/>
      <c r="DY38" s="20"/>
      <c r="EA38" s="20">
        <f t="shared" si="35"/>
        <v>0</v>
      </c>
      <c r="EB38" s="20">
        <f t="shared" si="35"/>
        <v>0</v>
      </c>
      <c r="EC38" s="20">
        <f t="shared" si="35"/>
        <v>0</v>
      </c>
      <c r="ED38" s="20">
        <f t="shared" si="35"/>
        <v>0</v>
      </c>
      <c r="EE38" s="20">
        <f t="shared" si="35"/>
        <v>0</v>
      </c>
      <c r="EF38" s="20">
        <f t="shared" si="36"/>
        <v>0</v>
      </c>
      <c r="EG38" s="20">
        <f t="shared" si="36"/>
        <v>0</v>
      </c>
      <c r="EH38" s="20">
        <f t="shared" si="36"/>
        <v>0</v>
      </c>
      <c r="EI38" s="20">
        <f t="shared" si="36"/>
        <v>0</v>
      </c>
      <c r="EJ38" s="20">
        <f t="shared" si="36"/>
        <v>0</v>
      </c>
      <c r="EL38" s="152">
        <f t="shared" si="37"/>
        <v>0</v>
      </c>
      <c r="EM38" s="152">
        <f t="shared" si="37"/>
        <v>0</v>
      </c>
      <c r="EN38" s="152">
        <f t="shared" si="37"/>
        <v>0</v>
      </c>
      <c r="EO38" s="152">
        <f t="shared" si="37"/>
        <v>0</v>
      </c>
      <c r="EP38" s="152">
        <f t="shared" si="37"/>
        <v>0</v>
      </c>
      <c r="EQ38" s="152">
        <f t="shared" si="37"/>
        <v>0</v>
      </c>
      <c r="ER38" s="152">
        <f t="shared" si="37"/>
        <v>0</v>
      </c>
      <c r="ES38" s="152">
        <f t="shared" si="37"/>
        <v>0</v>
      </c>
      <c r="ET38" s="152">
        <f t="shared" si="37"/>
        <v>0</v>
      </c>
      <c r="EU38" s="8">
        <f t="shared" si="38"/>
        <v>0</v>
      </c>
      <c r="EV38" s="154">
        <f t="shared" si="26"/>
        <v>0</v>
      </c>
      <c r="EW38" s="154">
        <f t="shared" si="26"/>
        <v>0</v>
      </c>
      <c r="EX38" s="154">
        <f t="shared" si="26"/>
        <v>0</v>
      </c>
      <c r="EY38" s="154">
        <f t="shared" si="26"/>
        <v>0</v>
      </c>
      <c r="EZ38" s="154">
        <f t="shared" si="26"/>
        <v>0</v>
      </c>
      <c r="FA38" s="154">
        <f t="shared" si="26"/>
        <v>0</v>
      </c>
      <c r="FB38" s="154">
        <f t="shared" si="26"/>
        <v>0</v>
      </c>
      <c r="FC38" s="154">
        <f t="shared" si="26"/>
        <v>0</v>
      </c>
      <c r="FD38" s="154">
        <f t="shared" si="26"/>
        <v>0</v>
      </c>
      <c r="FF38" s="154"/>
      <c r="FG38" s="154"/>
      <c r="FH38" s="127"/>
      <c r="FI38" s="127"/>
      <c r="FJ38" s="127"/>
      <c r="FK38" s="127"/>
      <c r="FL38" s="127"/>
      <c r="FM38" s="127"/>
      <c r="FN38" s="127"/>
      <c r="FO38" s="127"/>
      <c r="FQ38" s="20">
        <f t="shared" si="39"/>
        <v>0</v>
      </c>
      <c r="FR38" s="20">
        <f t="shared" si="39"/>
        <v>0</v>
      </c>
      <c r="FS38" s="128">
        <f t="shared" si="39"/>
        <v>0</v>
      </c>
      <c r="FT38" s="128">
        <f t="shared" si="39"/>
        <v>0</v>
      </c>
      <c r="FU38" s="128">
        <f t="shared" si="39"/>
        <v>0</v>
      </c>
      <c r="FV38" s="128">
        <f t="shared" si="40"/>
        <v>0</v>
      </c>
      <c r="FW38" s="128">
        <f t="shared" si="40"/>
        <v>0</v>
      </c>
      <c r="FX38" s="128">
        <f t="shared" si="40"/>
        <v>0</v>
      </c>
      <c r="FY38" s="128">
        <f t="shared" si="40"/>
        <v>0</v>
      </c>
      <c r="FZ38" s="128">
        <f t="shared" si="40"/>
        <v>0</v>
      </c>
      <c r="GA38" s="8">
        <f t="shared" si="41"/>
        <v>0</v>
      </c>
    </row>
    <row r="39" spans="2:183" ht="13.5">
      <c r="B39" s="19"/>
      <c r="C39" s="19"/>
      <c r="D39" s="19"/>
      <c r="E39" s="151"/>
      <c r="F39" s="170"/>
      <c r="G39" s="151"/>
      <c r="H39" s="19"/>
      <c r="J39" s="152"/>
      <c r="K39" s="152"/>
      <c r="L39" s="152"/>
      <c r="M39" s="152"/>
      <c r="N39" s="152"/>
      <c r="O39" s="152"/>
      <c r="P39" s="152"/>
      <c r="Q39" s="152"/>
      <c r="R39" s="152"/>
      <c r="S39" s="152"/>
      <c r="U39" s="152"/>
      <c r="V39" s="152"/>
      <c r="W39" s="152"/>
      <c r="X39" s="152"/>
      <c r="Y39" s="152"/>
      <c r="Z39" s="152"/>
      <c r="AA39" s="152"/>
      <c r="AB39" s="152"/>
      <c r="AC39" s="152"/>
      <c r="AD39" s="152"/>
      <c r="AF39" s="165"/>
      <c r="AG39" s="165"/>
      <c r="AH39" s="165"/>
      <c r="AI39" s="165"/>
      <c r="AJ39" s="165"/>
      <c r="AK39" s="165"/>
      <c r="AL39" s="165"/>
      <c r="AM39" s="165"/>
      <c r="AN39" s="165"/>
      <c r="AO39" s="165"/>
      <c r="AQ39" s="152"/>
      <c r="AR39" s="152"/>
      <c r="AS39" s="152"/>
      <c r="AT39" s="152"/>
      <c r="AU39" s="152"/>
      <c r="AV39" s="152"/>
      <c r="AW39" s="152"/>
      <c r="AX39" s="152"/>
      <c r="AY39" s="152"/>
      <c r="AZ39" s="152"/>
      <c r="BB39" s="152"/>
      <c r="BC39" s="152"/>
      <c r="BD39" s="152"/>
      <c r="BE39" s="152"/>
      <c r="BF39" s="152"/>
      <c r="BG39" s="152"/>
      <c r="BH39" s="152"/>
      <c r="BI39" s="152"/>
      <c r="BJ39" s="152"/>
      <c r="BK39" s="152"/>
      <c r="BM39" s="152">
        <f t="shared" si="33"/>
        <v>0</v>
      </c>
      <c r="BN39" s="152">
        <f t="shared" si="33"/>
        <v>0</v>
      </c>
      <c r="BO39" s="152">
        <f t="shared" si="33"/>
        <v>0</v>
      </c>
      <c r="BP39" s="152">
        <f t="shared" si="33"/>
        <v>0</v>
      </c>
      <c r="BQ39" s="152">
        <f t="shared" si="33"/>
        <v>0</v>
      </c>
      <c r="BR39" s="152">
        <f t="shared" si="33"/>
        <v>0</v>
      </c>
      <c r="BS39" s="152">
        <f t="shared" si="33"/>
        <v>0</v>
      </c>
      <c r="BT39" s="152">
        <f t="shared" si="33"/>
        <v>0</v>
      </c>
      <c r="BU39" s="152">
        <f t="shared" si="33"/>
        <v>0</v>
      </c>
      <c r="BV39" s="152">
        <f t="shared" si="33"/>
        <v>0</v>
      </c>
      <c r="BX39" s="160"/>
      <c r="BY39" s="159"/>
      <c r="BZ39" s="159"/>
      <c r="CA39" s="159"/>
      <c r="CB39" s="159"/>
      <c r="CC39" s="159"/>
      <c r="CD39" s="159"/>
      <c r="CE39" s="159"/>
      <c r="CF39" s="159"/>
      <c r="CG39" s="159"/>
      <c r="CI39" s="128">
        <f t="shared" si="34"/>
        <v>0</v>
      </c>
      <c r="CJ39" s="128">
        <f t="shared" si="34"/>
        <v>0</v>
      </c>
      <c r="CK39" s="161">
        <f t="shared" si="34"/>
        <v>0</v>
      </c>
      <c r="CL39" s="161">
        <f t="shared" si="34"/>
        <v>0</v>
      </c>
      <c r="CM39" s="161">
        <f t="shared" si="34"/>
        <v>0</v>
      </c>
      <c r="CN39" s="278">
        <f t="shared" si="34"/>
        <v>0</v>
      </c>
      <c r="CO39" s="278">
        <f t="shared" si="34"/>
        <v>0</v>
      </c>
      <c r="CP39" s="278">
        <f t="shared" si="34"/>
        <v>0</v>
      </c>
      <c r="CQ39" s="278">
        <f t="shared" si="34"/>
        <v>0</v>
      </c>
      <c r="CR39" s="278">
        <f t="shared" si="34"/>
        <v>0</v>
      </c>
      <c r="CT39" s="25"/>
      <c r="CU39" s="168"/>
      <c r="CV39" s="168"/>
      <c r="CW39" s="168"/>
      <c r="CX39" s="168"/>
      <c r="CY39" s="168"/>
      <c r="CZ39" s="168"/>
      <c r="DA39" s="168"/>
      <c r="DB39" s="168"/>
      <c r="DC39" s="168"/>
      <c r="DE39" s="20">
        <f t="shared" si="22"/>
        <v>0</v>
      </c>
      <c r="DF39" s="20">
        <f t="shared" si="22"/>
        <v>0</v>
      </c>
      <c r="DG39" s="20">
        <f t="shared" si="22"/>
        <v>0</v>
      </c>
      <c r="DH39" s="20">
        <f t="shared" si="22"/>
        <v>0</v>
      </c>
      <c r="DI39" s="20">
        <f t="shared" si="22"/>
        <v>0</v>
      </c>
      <c r="DJ39" s="20">
        <f t="shared" si="22"/>
        <v>0</v>
      </c>
      <c r="DK39" s="20">
        <f t="shared" si="22"/>
        <v>0</v>
      </c>
      <c r="DL39" s="20">
        <f t="shared" si="22"/>
        <v>0</v>
      </c>
      <c r="DM39" s="20">
        <f t="shared" si="22"/>
        <v>0</v>
      </c>
      <c r="DN39" s="20">
        <f t="shared" si="22"/>
        <v>0</v>
      </c>
      <c r="DP39" s="20"/>
      <c r="DQ39" s="20"/>
      <c r="DR39" s="20"/>
      <c r="DS39" s="20"/>
      <c r="DT39" s="20"/>
      <c r="DU39" s="20"/>
      <c r="DV39" s="20"/>
      <c r="DW39" s="20"/>
      <c r="DX39" s="20"/>
      <c r="DY39" s="20"/>
      <c r="EA39" s="20">
        <f t="shared" si="35"/>
        <v>0</v>
      </c>
      <c r="EB39" s="20">
        <f t="shared" si="35"/>
        <v>0</v>
      </c>
      <c r="EC39" s="20">
        <f t="shared" si="35"/>
        <v>0</v>
      </c>
      <c r="ED39" s="20">
        <f t="shared" si="35"/>
        <v>0</v>
      </c>
      <c r="EE39" s="20">
        <f t="shared" si="35"/>
        <v>0</v>
      </c>
      <c r="EF39" s="20">
        <f t="shared" si="36"/>
        <v>0</v>
      </c>
      <c r="EG39" s="20">
        <f t="shared" si="36"/>
        <v>0</v>
      </c>
      <c r="EH39" s="20">
        <f t="shared" si="36"/>
        <v>0</v>
      </c>
      <c r="EI39" s="20">
        <f t="shared" si="36"/>
        <v>0</v>
      </c>
      <c r="EJ39" s="20">
        <f t="shared" si="36"/>
        <v>0</v>
      </c>
      <c r="EL39" s="152">
        <f t="shared" si="37"/>
        <v>0</v>
      </c>
      <c r="EM39" s="152">
        <f t="shared" si="37"/>
        <v>0</v>
      </c>
      <c r="EN39" s="152">
        <f t="shared" si="37"/>
        <v>0</v>
      </c>
      <c r="EO39" s="152">
        <f t="shared" si="37"/>
        <v>0</v>
      </c>
      <c r="EP39" s="152">
        <f t="shared" si="37"/>
        <v>0</v>
      </c>
      <c r="EQ39" s="152">
        <f t="shared" si="37"/>
        <v>0</v>
      </c>
      <c r="ER39" s="152">
        <f t="shared" si="37"/>
        <v>0</v>
      </c>
      <c r="ES39" s="152">
        <f t="shared" si="37"/>
        <v>0</v>
      </c>
      <c r="ET39" s="152">
        <f t="shared" si="37"/>
        <v>0</v>
      </c>
      <c r="EU39" s="8">
        <f t="shared" si="38"/>
        <v>0</v>
      </c>
      <c r="EV39" s="154">
        <f t="shared" si="26"/>
        <v>0</v>
      </c>
      <c r="EW39" s="154">
        <f t="shared" si="26"/>
        <v>0</v>
      </c>
      <c r="EX39" s="154">
        <f t="shared" si="26"/>
        <v>0</v>
      </c>
      <c r="EY39" s="154">
        <f t="shared" si="26"/>
        <v>0</v>
      </c>
      <c r="EZ39" s="154">
        <f t="shared" si="26"/>
        <v>0</v>
      </c>
      <c r="FA39" s="154">
        <f t="shared" si="26"/>
        <v>0</v>
      </c>
      <c r="FB39" s="154">
        <f t="shared" si="26"/>
        <v>0</v>
      </c>
      <c r="FC39" s="154">
        <f t="shared" si="26"/>
        <v>0</v>
      </c>
      <c r="FD39" s="154">
        <f t="shared" si="26"/>
        <v>0</v>
      </c>
      <c r="FF39" s="154"/>
      <c r="FG39" s="154"/>
      <c r="FH39" s="127"/>
      <c r="FI39" s="127"/>
      <c r="FJ39" s="127"/>
      <c r="FK39" s="127"/>
      <c r="FL39" s="127"/>
      <c r="FM39" s="127"/>
      <c r="FN39" s="127"/>
      <c r="FO39" s="127"/>
      <c r="FQ39" s="20">
        <f t="shared" si="39"/>
        <v>0</v>
      </c>
      <c r="FR39" s="20">
        <f t="shared" si="39"/>
        <v>0</v>
      </c>
      <c r="FS39" s="128">
        <f t="shared" si="39"/>
        <v>0</v>
      </c>
      <c r="FT39" s="128">
        <f t="shared" si="39"/>
        <v>0</v>
      </c>
      <c r="FU39" s="128">
        <f t="shared" si="39"/>
        <v>0</v>
      </c>
      <c r="FV39" s="128">
        <f t="shared" si="40"/>
        <v>0</v>
      </c>
      <c r="FW39" s="128">
        <f t="shared" si="40"/>
        <v>0</v>
      </c>
      <c r="FX39" s="128">
        <f t="shared" si="40"/>
        <v>0</v>
      </c>
      <c r="FY39" s="128">
        <f t="shared" si="40"/>
        <v>0</v>
      </c>
      <c r="FZ39" s="128">
        <f t="shared" si="40"/>
        <v>0</v>
      </c>
      <c r="GA39" s="8">
        <f t="shared" si="41"/>
        <v>0</v>
      </c>
    </row>
    <row r="40" spans="2:183" ht="13.5">
      <c r="B40" s="19"/>
      <c r="C40" s="19"/>
      <c r="D40" s="19"/>
      <c r="E40" s="151"/>
      <c r="F40" s="170"/>
      <c r="G40" s="151"/>
      <c r="H40" s="19"/>
      <c r="J40" s="152"/>
      <c r="K40" s="152"/>
      <c r="L40" s="152"/>
      <c r="M40" s="152"/>
      <c r="N40" s="152"/>
      <c r="O40" s="152"/>
      <c r="P40" s="152"/>
      <c r="Q40" s="152"/>
      <c r="R40" s="152"/>
      <c r="S40" s="152"/>
      <c r="U40" s="152"/>
      <c r="V40" s="152"/>
      <c r="W40" s="152"/>
      <c r="X40" s="152"/>
      <c r="Y40" s="152"/>
      <c r="Z40" s="152"/>
      <c r="AA40" s="152"/>
      <c r="AB40" s="152"/>
      <c r="AC40" s="152"/>
      <c r="AD40" s="152"/>
      <c r="AF40" s="165"/>
      <c r="AG40" s="165"/>
      <c r="AH40" s="165"/>
      <c r="AI40" s="165"/>
      <c r="AJ40" s="165"/>
      <c r="AK40" s="165"/>
      <c r="AL40" s="165"/>
      <c r="AM40" s="165"/>
      <c r="AN40" s="165"/>
      <c r="AO40" s="165"/>
      <c r="AQ40" s="152"/>
      <c r="AR40" s="152"/>
      <c r="AS40" s="152"/>
      <c r="AT40" s="152"/>
      <c r="AU40" s="152"/>
      <c r="AV40" s="152"/>
      <c r="AW40" s="152"/>
      <c r="AX40" s="152"/>
      <c r="AY40" s="152"/>
      <c r="AZ40" s="152"/>
      <c r="BB40" s="152"/>
      <c r="BC40" s="152"/>
      <c r="BD40" s="152"/>
      <c r="BE40" s="152"/>
      <c r="BF40" s="152"/>
      <c r="BG40" s="152"/>
      <c r="BH40" s="152"/>
      <c r="BI40" s="152"/>
      <c r="BJ40" s="152"/>
      <c r="BK40" s="152"/>
      <c r="BM40" s="152">
        <f t="shared" si="33"/>
        <v>0</v>
      </c>
      <c r="BN40" s="152">
        <f t="shared" si="33"/>
        <v>0</v>
      </c>
      <c r="BO40" s="152">
        <f t="shared" si="33"/>
        <v>0</v>
      </c>
      <c r="BP40" s="152">
        <f t="shared" si="33"/>
        <v>0</v>
      </c>
      <c r="BQ40" s="152">
        <f t="shared" si="33"/>
        <v>0</v>
      </c>
      <c r="BR40" s="152">
        <f t="shared" si="33"/>
        <v>0</v>
      </c>
      <c r="BS40" s="152">
        <f t="shared" si="33"/>
        <v>0</v>
      </c>
      <c r="BT40" s="152">
        <f t="shared" si="33"/>
        <v>0</v>
      </c>
      <c r="BU40" s="152">
        <f t="shared" si="33"/>
        <v>0</v>
      </c>
      <c r="BV40" s="152">
        <f t="shared" si="33"/>
        <v>0</v>
      </c>
      <c r="BX40" s="160"/>
      <c r="BY40" s="159"/>
      <c r="BZ40" s="159"/>
      <c r="CA40" s="159"/>
      <c r="CB40" s="159"/>
      <c r="CC40" s="159"/>
      <c r="CD40" s="159"/>
      <c r="CE40" s="159"/>
      <c r="CF40" s="159"/>
      <c r="CG40" s="159"/>
      <c r="CI40" s="128">
        <f t="shared" si="34"/>
        <v>0</v>
      </c>
      <c r="CJ40" s="128">
        <f t="shared" si="34"/>
        <v>0</v>
      </c>
      <c r="CK40" s="161">
        <f t="shared" si="34"/>
        <v>0</v>
      </c>
      <c r="CL40" s="161">
        <f t="shared" si="34"/>
        <v>0</v>
      </c>
      <c r="CM40" s="161">
        <f t="shared" si="34"/>
        <v>0</v>
      </c>
      <c r="CN40" s="278">
        <f t="shared" si="34"/>
        <v>0</v>
      </c>
      <c r="CO40" s="278">
        <f t="shared" si="34"/>
        <v>0</v>
      </c>
      <c r="CP40" s="278">
        <f t="shared" si="34"/>
        <v>0</v>
      </c>
      <c r="CQ40" s="278">
        <f t="shared" si="34"/>
        <v>0</v>
      </c>
      <c r="CR40" s="278">
        <f t="shared" si="34"/>
        <v>0</v>
      </c>
      <c r="CT40" s="25"/>
      <c r="CU40" s="168"/>
      <c r="CV40" s="168"/>
      <c r="CW40" s="168"/>
      <c r="CX40" s="168"/>
      <c r="CY40" s="168"/>
      <c r="CZ40" s="168"/>
      <c r="DA40" s="168"/>
      <c r="DB40" s="168"/>
      <c r="DC40" s="168"/>
      <c r="DE40" s="20">
        <f t="shared" si="22"/>
        <v>0</v>
      </c>
      <c r="DF40" s="20">
        <f t="shared" si="22"/>
        <v>0</v>
      </c>
      <c r="DG40" s="20">
        <f t="shared" si="22"/>
        <v>0</v>
      </c>
      <c r="DH40" s="20">
        <f t="shared" si="22"/>
        <v>0</v>
      </c>
      <c r="DI40" s="20">
        <f t="shared" si="22"/>
        <v>0</v>
      </c>
      <c r="DJ40" s="20">
        <f t="shared" ref="DJ40:DN43" si="42">-CN40*CY40</f>
        <v>0</v>
      </c>
      <c r="DK40" s="20">
        <f t="shared" si="42"/>
        <v>0</v>
      </c>
      <c r="DL40" s="20">
        <f t="shared" si="42"/>
        <v>0</v>
      </c>
      <c r="DM40" s="20">
        <f t="shared" si="42"/>
        <v>0</v>
      </c>
      <c r="DN40" s="20">
        <f t="shared" si="42"/>
        <v>0</v>
      </c>
      <c r="DP40" s="20"/>
      <c r="DQ40" s="20"/>
      <c r="DR40" s="20"/>
      <c r="DS40" s="20"/>
      <c r="DT40" s="20"/>
      <c r="DU40" s="20"/>
      <c r="DV40" s="20"/>
      <c r="DW40" s="20"/>
      <c r="DX40" s="20"/>
      <c r="DY40" s="20"/>
      <c r="EA40" s="20">
        <f t="shared" si="35"/>
        <v>0</v>
      </c>
      <c r="EB40" s="20">
        <f t="shared" si="35"/>
        <v>0</v>
      </c>
      <c r="EC40" s="20">
        <f t="shared" si="35"/>
        <v>0</v>
      </c>
      <c r="ED40" s="20">
        <f t="shared" si="35"/>
        <v>0</v>
      </c>
      <c r="EE40" s="20">
        <f t="shared" si="35"/>
        <v>0</v>
      </c>
      <c r="EF40" s="20">
        <f t="shared" si="36"/>
        <v>0</v>
      </c>
      <c r="EG40" s="20">
        <f t="shared" si="36"/>
        <v>0</v>
      </c>
      <c r="EH40" s="20">
        <f t="shared" si="36"/>
        <v>0</v>
      </c>
      <c r="EI40" s="20">
        <f t="shared" si="36"/>
        <v>0</v>
      </c>
      <c r="EJ40" s="20">
        <f t="shared" si="36"/>
        <v>0</v>
      </c>
      <c r="EL40" s="152">
        <f t="shared" si="37"/>
        <v>0</v>
      </c>
      <c r="EM40" s="152">
        <f t="shared" si="37"/>
        <v>0</v>
      </c>
      <c r="EN40" s="152">
        <f t="shared" si="37"/>
        <v>0</v>
      </c>
      <c r="EO40" s="152">
        <f t="shared" si="37"/>
        <v>0</v>
      </c>
      <c r="EP40" s="152">
        <f t="shared" si="37"/>
        <v>0</v>
      </c>
      <c r="EQ40" s="152">
        <f t="shared" si="37"/>
        <v>0</v>
      </c>
      <c r="ER40" s="152">
        <f t="shared" si="37"/>
        <v>0</v>
      </c>
      <c r="ES40" s="152">
        <f t="shared" si="37"/>
        <v>0</v>
      </c>
      <c r="ET40" s="152">
        <f t="shared" si="37"/>
        <v>0</v>
      </c>
      <c r="EU40" s="8">
        <f t="shared" si="38"/>
        <v>0</v>
      </c>
      <c r="EV40" s="154">
        <f t="shared" si="26"/>
        <v>0</v>
      </c>
      <c r="EW40" s="154">
        <f t="shared" si="26"/>
        <v>0</v>
      </c>
      <c r="EX40" s="154">
        <f t="shared" si="26"/>
        <v>0</v>
      </c>
      <c r="EY40" s="154">
        <f t="shared" si="26"/>
        <v>0</v>
      </c>
      <c r="EZ40" s="154">
        <f t="shared" si="26"/>
        <v>0</v>
      </c>
      <c r="FA40" s="154">
        <f t="shared" si="26"/>
        <v>0</v>
      </c>
      <c r="FB40" s="154">
        <f t="shared" si="26"/>
        <v>0</v>
      </c>
      <c r="FC40" s="154">
        <f t="shared" si="26"/>
        <v>0</v>
      </c>
      <c r="FD40" s="154">
        <f t="shared" si="26"/>
        <v>0</v>
      </c>
      <c r="FF40" s="154"/>
      <c r="FG40" s="154"/>
      <c r="FH40" s="127"/>
      <c r="FI40" s="127"/>
      <c r="FJ40" s="127"/>
      <c r="FK40" s="127"/>
      <c r="FL40" s="127"/>
      <c r="FM40" s="127"/>
      <c r="FN40" s="127"/>
      <c r="FO40" s="127"/>
      <c r="FQ40" s="20">
        <f t="shared" si="39"/>
        <v>0</v>
      </c>
      <c r="FR40" s="20">
        <f t="shared" si="39"/>
        <v>0</v>
      </c>
      <c r="FS40" s="128">
        <f t="shared" si="39"/>
        <v>0</v>
      </c>
      <c r="FT40" s="128">
        <f t="shared" si="39"/>
        <v>0</v>
      </c>
      <c r="FU40" s="128">
        <f t="shared" si="39"/>
        <v>0</v>
      </c>
      <c r="FV40" s="128">
        <f t="shared" si="40"/>
        <v>0</v>
      </c>
      <c r="FW40" s="128">
        <f t="shared" si="40"/>
        <v>0</v>
      </c>
      <c r="FX40" s="128">
        <f t="shared" si="40"/>
        <v>0</v>
      </c>
      <c r="FY40" s="128">
        <f t="shared" si="40"/>
        <v>0</v>
      </c>
      <c r="FZ40" s="128">
        <f t="shared" si="40"/>
        <v>0</v>
      </c>
      <c r="GA40" s="8">
        <f t="shared" si="41"/>
        <v>0</v>
      </c>
    </row>
    <row r="41" spans="2:183" ht="13.5">
      <c r="B41" s="19"/>
      <c r="C41" s="19"/>
      <c r="D41" s="19"/>
      <c r="E41" s="151"/>
      <c r="F41" s="170"/>
      <c r="G41" s="151"/>
      <c r="H41" s="19"/>
      <c r="J41" s="152"/>
      <c r="K41" s="152"/>
      <c r="L41" s="152"/>
      <c r="M41" s="152"/>
      <c r="N41" s="152"/>
      <c r="O41" s="152"/>
      <c r="P41" s="152"/>
      <c r="Q41" s="152"/>
      <c r="R41" s="152"/>
      <c r="S41" s="152"/>
      <c r="U41" s="152"/>
      <c r="V41" s="152"/>
      <c r="W41" s="152"/>
      <c r="X41" s="152"/>
      <c r="Y41" s="152"/>
      <c r="Z41" s="152"/>
      <c r="AA41" s="152"/>
      <c r="AB41" s="152"/>
      <c r="AC41" s="152"/>
      <c r="AD41" s="152"/>
      <c r="AF41" s="165"/>
      <c r="AG41" s="165"/>
      <c r="AH41" s="165"/>
      <c r="AI41" s="165"/>
      <c r="AJ41" s="165"/>
      <c r="AK41" s="165"/>
      <c r="AL41" s="165"/>
      <c r="AM41" s="165"/>
      <c r="AN41" s="165"/>
      <c r="AO41" s="165"/>
      <c r="AQ41" s="152"/>
      <c r="AR41" s="152"/>
      <c r="AS41" s="152"/>
      <c r="AT41" s="152"/>
      <c r="AU41" s="152"/>
      <c r="AV41" s="152"/>
      <c r="AW41" s="152"/>
      <c r="AX41" s="152"/>
      <c r="AY41" s="152"/>
      <c r="AZ41" s="152"/>
      <c r="BB41" s="152"/>
      <c r="BC41" s="152"/>
      <c r="BD41" s="152"/>
      <c r="BE41" s="152"/>
      <c r="BF41" s="152"/>
      <c r="BG41" s="152"/>
      <c r="BH41" s="152"/>
      <c r="BI41" s="152"/>
      <c r="BJ41" s="152"/>
      <c r="BK41" s="152"/>
      <c r="BM41" s="152">
        <f t="shared" si="33"/>
        <v>0</v>
      </c>
      <c r="BN41" s="152">
        <f t="shared" si="33"/>
        <v>0</v>
      </c>
      <c r="BO41" s="152">
        <f t="shared" si="33"/>
        <v>0</v>
      </c>
      <c r="BP41" s="152">
        <f t="shared" si="33"/>
        <v>0</v>
      </c>
      <c r="BQ41" s="152">
        <f t="shared" si="33"/>
        <v>0</v>
      </c>
      <c r="BR41" s="152">
        <f t="shared" si="33"/>
        <v>0</v>
      </c>
      <c r="BS41" s="152">
        <f t="shared" si="33"/>
        <v>0</v>
      </c>
      <c r="BT41" s="152">
        <f t="shared" si="33"/>
        <v>0</v>
      </c>
      <c r="BU41" s="152">
        <f t="shared" si="33"/>
        <v>0</v>
      </c>
      <c r="BV41" s="152">
        <f t="shared" si="33"/>
        <v>0</v>
      </c>
      <c r="BX41" s="160"/>
      <c r="BY41" s="159"/>
      <c r="BZ41" s="159"/>
      <c r="CA41" s="159"/>
      <c r="CB41" s="159"/>
      <c r="CC41" s="159"/>
      <c r="CD41" s="159"/>
      <c r="CE41" s="159"/>
      <c r="CF41" s="159"/>
      <c r="CG41" s="159"/>
      <c r="CI41" s="128">
        <f t="shared" si="34"/>
        <v>0</v>
      </c>
      <c r="CJ41" s="128">
        <f t="shared" si="34"/>
        <v>0</v>
      </c>
      <c r="CK41" s="161">
        <f t="shared" si="34"/>
        <v>0</v>
      </c>
      <c r="CL41" s="161">
        <f t="shared" si="34"/>
        <v>0</v>
      </c>
      <c r="CM41" s="161">
        <f t="shared" si="34"/>
        <v>0</v>
      </c>
      <c r="CN41" s="278">
        <f t="shared" si="34"/>
        <v>0</v>
      </c>
      <c r="CO41" s="278">
        <f t="shared" si="34"/>
        <v>0</v>
      </c>
      <c r="CP41" s="278">
        <f t="shared" si="34"/>
        <v>0</v>
      </c>
      <c r="CQ41" s="278">
        <f t="shared" si="34"/>
        <v>0</v>
      </c>
      <c r="CR41" s="278">
        <f t="shared" si="34"/>
        <v>0</v>
      </c>
      <c r="CT41" s="25"/>
      <c r="CU41" s="168"/>
      <c r="CV41" s="168"/>
      <c r="CW41" s="168"/>
      <c r="CX41" s="168"/>
      <c r="CY41" s="168"/>
      <c r="CZ41" s="168"/>
      <c r="DA41" s="168"/>
      <c r="DB41" s="168"/>
      <c r="DC41" s="168"/>
      <c r="DE41" s="20">
        <f t="shared" ref="DE41:DI43" si="43">-CI41*CT41</f>
        <v>0</v>
      </c>
      <c r="DF41" s="20">
        <f t="shared" si="43"/>
        <v>0</v>
      </c>
      <c r="DG41" s="20">
        <f t="shared" si="43"/>
        <v>0</v>
      </c>
      <c r="DH41" s="20">
        <f t="shared" si="43"/>
        <v>0</v>
      </c>
      <c r="DI41" s="20">
        <f t="shared" si="43"/>
        <v>0</v>
      </c>
      <c r="DJ41" s="20">
        <f t="shared" si="42"/>
        <v>0</v>
      </c>
      <c r="DK41" s="20">
        <f t="shared" si="42"/>
        <v>0</v>
      </c>
      <c r="DL41" s="20">
        <f t="shared" si="42"/>
        <v>0</v>
      </c>
      <c r="DM41" s="20">
        <f t="shared" si="42"/>
        <v>0</v>
      </c>
      <c r="DN41" s="20">
        <f t="shared" si="42"/>
        <v>0</v>
      </c>
      <c r="DP41" s="20"/>
      <c r="DQ41" s="20"/>
      <c r="DR41" s="20"/>
      <c r="DS41" s="20"/>
      <c r="DT41" s="20"/>
      <c r="DU41" s="20"/>
      <c r="DV41" s="20"/>
      <c r="DW41" s="20"/>
      <c r="DX41" s="20"/>
      <c r="DY41" s="20"/>
      <c r="EA41" s="20">
        <f t="shared" si="35"/>
        <v>0</v>
      </c>
      <c r="EB41" s="20">
        <f t="shared" si="35"/>
        <v>0</v>
      </c>
      <c r="EC41" s="20">
        <f t="shared" si="35"/>
        <v>0</v>
      </c>
      <c r="ED41" s="20">
        <f t="shared" si="35"/>
        <v>0</v>
      </c>
      <c r="EE41" s="20">
        <f t="shared" si="35"/>
        <v>0</v>
      </c>
      <c r="EF41" s="20">
        <f t="shared" si="36"/>
        <v>0</v>
      </c>
      <c r="EG41" s="20">
        <f t="shared" si="36"/>
        <v>0</v>
      </c>
      <c r="EH41" s="20">
        <f t="shared" si="36"/>
        <v>0</v>
      </c>
      <c r="EI41" s="20">
        <f t="shared" si="36"/>
        <v>0</v>
      </c>
      <c r="EJ41" s="20">
        <f t="shared" si="36"/>
        <v>0</v>
      </c>
      <c r="EL41" s="152">
        <f t="shared" si="37"/>
        <v>0</v>
      </c>
      <c r="EM41" s="152">
        <f t="shared" si="37"/>
        <v>0</v>
      </c>
      <c r="EN41" s="152">
        <f t="shared" si="37"/>
        <v>0</v>
      </c>
      <c r="EO41" s="152">
        <f t="shared" si="37"/>
        <v>0</v>
      </c>
      <c r="EP41" s="152">
        <f t="shared" si="37"/>
        <v>0</v>
      </c>
      <c r="EQ41" s="152">
        <f t="shared" si="37"/>
        <v>0</v>
      </c>
      <c r="ER41" s="152">
        <f t="shared" si="37"/>
        <v>0</v>
      </c>
      <c r="ES41" s="152">
        <f t="shared" si="37"/>
        <v>0</v>
      </c>
      <c r="ET41" s="152">
        <f t="shared" si="37"/>
        <v>0</v>
      </c>
      <c r="EU41" s="8">
        <f t="shared" si="38"/>
        <v>0</v>
      </c>
      <c r="EV41" s="154">
        <f t="shared" si="26"/>
        <v>0</v>
      </c>
      <c r="EW41" s="154">
        <f t="shared" si="26"/>
        <v>0</v>
      </c>
      <c r="EX41" s="154">
        <f t="shared" si="26"/>
        <v>0</v>
      </c>
      <c r="EY41" s="154">
        <f t="shared" si="26"/>
        <v>0</v>
      </c>
      <c r="EZ41" s="154">
        <f t="shared" si="26"/>
        <v>0</v>
      </c>
      <c r="FA41" s="154">
        <f t="shared" si="26"/>
        <v>0</v>
      </c>
      <c r="FB41" s="154">
        <f t="shared" si="26"/>
        <v>0</v>
      </c>
      <c r="FC41" s="154">
        <f t="shared" si="26"/>
        <v>0</v>
      </c>
      <c r="FD41" s="154">
        <f t="shared" si="26"/>
        <v>0</v>
      </c>
      <c r="FF41" s="154"/>
      <c r="FG41" s="154"/>
      <c r="FH41" s="127"/>
      <c r="FI41" s="127"/>
      <c r="FJ41" s="127"/>
      <c r="FK41" s="127"/>
      <c r="FL41" s="127"/>
      <c r="FM41" s="127"/>
      <c r="FN41" s="127"/>
      <c r="FO41" s="127"/>
      <c r="FQ41" s="20">
        <f t="shared" si="39"/>
        <v>0</v>
      </c>
      <c r="FR41" s="20">
        <f t="shared" si="39"/>
        <v>0</v>
      </c>
      <c r="FS41" s="128">
        <f t="shared" si="39"/>
        <v>0</v>
      </c>
      <c r="FT41" s="128">
        <f t="shared" si="39"/>
        <v>0</v>
      </c>
      <c r="FU41" s="128">
        <f t="shared" si="39"/>
        <v>0</v>
      </c>
      <c r="FV41" s="128">
        <f t="shared" si="40"/>
        <v>0</v>
      </c>
      <c r="FW41" s="128">
        <f t="shared" si="40"/>
        <v>0</v>
      </c>
      <c r="FX41" s="128">
        <f t="shared" si="40"/>
        <v>0</v>
      </c>
      <c r="FY41" s="128">
        <f t="shared" si="40"/>
        <v>0</v>
      </c>
      <c r="FZ41" s="128">
        <f t="shared" si="40"/>
        <v>0</v>
      </c>
      <c r="GA41" s="8">
        <f t="shared" si="41"/>
        <v>0</v>
      </c>
    </row>
    <row r="42" spans="2:183" ht="13.5">
      <c r="B42" s="19"/>
      <c r="C42" s="19"/>
      <c r="D42" s="19"/>
      <c r="E42" s="151"/>
      <c r="F42" s="170"/>
      <c r="G42" s="151"/>
      <c r="H42" s="19"/>
      <c r="J42" s="152"/>
      <c r="K42" s="152"/>
      <c r="L42" s="152"/>
      <c r="M42" s="152"/>
      <c r="N42" s="152"/>
      <c r="O42" s="152"/>
      <c r="P42" s="152"/>
      <c r="Q42" s="152"/>
      <c r="R42" s="152"/>
      <c r="S42" s="152"/>
      <c r="U42" s="152"/>
      <c r="V42" s="152"/>
      <c r="W42" s="152"/>
      <c r="X42" s="152"/>
      <c r="Y42" s="152"/>
      <c r="Z42" s="152"/>
      <c r="AA42" s="152"/>
      <c r="AB42" s="152"/>
      <c r="AC42" s="152"/>
      <c r="AD42" s="152"/>
      <c r="AF42" s="165"/>
      <c r="AG42" s="165"/>
      <c r="AH42" s="165"/>
      <c r="AI42" s="165"/>
      <c r="AJ42" s="165"/>
      <c r="AK42" s="165"/>
      <c r="AL42" s="165"/>
      <c r="AM42" s="165"/>
      <c r="AN42" s="165"/>
      <c r="AO42" s="165"/>
      <c r="AQ42" s="152"/>
      <c r="AR42" s="152"/>
      <c r="AS42" s="152"/>
      <c r="AT42" s="152"/>
      <c r="AU42" s="152"/>
      <c r="AV42" s="152"/>
      <c r="AW42" s="152"/>
      <c r="AX42" s="152"/>
      <c r="AY42" s="152"/>
      <c r="AZ42" s="152"/>
      <c r="BB42" s="152"/>
      <c r="BC42" s="152"/>
      <c r="BD42" s="152"/>
      <c r="BE42" s="152"/>
      <c r="BF42" s="152"/>
      <c r="BG42" s="152"/>
      <c r="BH42" s="152"/>
      <c r="BI42" s="152"/>
      <c r="BJ42" s="152"/>
      <c r="BK42" s="152"/>
      <c r="BM42" s="152">
        <f t="shared" si="33"/>
        <v>0</v>
      </c>
      <c r="BN42" s="152">
        <f t="shared" si="33"/>
        <v>0</v>
      </c>
      <c r="BO42" s="152">
        <f t="shared" si="33"/>
        <v>0</v>
      </c>
      <c r="BP42" s="152">
        <f t="shared" si="33"/>
        <v>0</v>
      </c>
      <c r="BQ42" s="152">
        <f t="shared" si="33"/>
        <v>0</v>
      </c>
      <c r="BR42" s="152">
        <f t="shared" si="33"/>
        <v>0</v>
      </c>
      <c r="BS42" s="152">
        <f t="shared" si="33"/>
        <v>0</v>
      </c>
      <c r="BT42" s="152">
        <f t="shared" si="33"/>
        <v>0</v>
      </c>
      <c r="BU42" s="152">
        <f t="shared" si="33"/>
        <v>0</v>
      </c>
      <c r="BV42" s="152">
        <f t="shared" si="33"/>
        <v>0</v>
      </c>
      <c r="BX42" s="160"/>
      <c r="BY42" s="159"/>
      <c r="BZ42" s="159"/>
      <c r="CA42" s="159"/>
      <c r="CB42" s="159"/>
      <c r="CC42" s="159"/>
      <c r="CD42" s="159"/>
      <c r="CE42" s="159"/>
      <c r="CF42" s="159"/>
      <c r="CG42" s="159"/>
      <c r="CI42" s="128">
        <f t="shared" si="34"/>
        <v>0</v>
      </c>
      <c r="CJ42" s="128">
        <f t="shared" si="34"/>
        <v>0</v>
      </c>
      <c r="CK42" s="161">
        <f t="shared" si="34"/>
        <v>0</v>
      </c>
      <c r="CL42" s="161">
        <f t="shared" si="34"/>
        <v>0</v>
      </c>
      <c r="CM42" s="161">
        <f t="shared" si="34"/>
        <v>0</v>
      </c>
      <c r="CN42" s="278">
        <f t="shared" si="34"/>
        <v>0</v>
      </c>
      <c r="CO42" s="278">
        <f t="shared" si="34"/>
        <v>0</v>
      </c>
      <c r="CP42" s="278">
        <f t="shared" si="34"/>
        <v>0</v>
      </c>
      <c r="CQ42" s="278">
        <f t="shared" si="34"/>
        <v>0</v>
      </c>
      <c r="CR42" s="278">
        <f t="shared" si="34"/>
        <v>0</v>
      </c>
      <c r="CT42" s="25"/>
      <c r="CU42" s="168"/>
      <c r="CV42" s="168"/>
      <c r="CW42" s="168"/>
      <c r="CX42" s="168"/>
      <c r="CY42" s="168"/>
      <c r="CZ42" s="168"/>
      <c r="DA42" s="168"/>
      <c r="DB42" s="168"/>
      <c r="DC42" s="168"/>
      <c r="DE42" s="20">
        <f t="shared" si="43"/>
        <v>0</v>
      </c>
      <c r="DF42" s="20">
        <f t="shared" si="43"/>
        <v>0</v>
      </c>
      <c r="DG42" s="20">
        <f t="shared" si="43"/>
        <v>0</v>
      </c>
      <c r="DH42" s="20">
        <f t="shared" si="43"/>
        <v>0</v>
      </c>
      <c r="DI42" s="20">
        <f t="shared" si="43"/>
        <v>0</v>
      </c>
      <c r="DJ42" s="20">
        <f t="shared" si="42"/>
        <v>0</v>
      </c>
      <c r="DK42" s="20">
        <f t="shared" si="42"/>
        <v>0</v>
      </c>
      <c r="DL42" s="20">
        <f t="shared" si="42"/>
        <v>0</v>
      </c>
      <c r="DM42" s="20">
        <f t="shared" si="42"/>
        <v>0</v>
      </c>
      <c r="DN42" s="20">
        <f t="shared" si="42"/>
        <v>0</v>
      </c>
      <c r="DP42" s="20"/>
      <c r="DQ42" s="20"/>
      <c r="DR42" s="20"/>
      <c r="DS42" s="20"/>
      <c r="DT42" s="20"/>
      <c r="DU42" s="20"/>
      <c r="DV42" s="20"/>
      <c r="DW42" s="20"/>
      <c r="DX42" s="20"/>
      <c r="DY42" s="20"/>
      <c r="EA42" s="20">
        <f t="shared" si="35"/>
        <v>0</v>
      </c>
      <c r="EB42" s="20">
        <f t="shared" si="35"/>
        <v>0</v>
      </c>
      <c r="EC42" s="20">
        <f t="shared" si="35"/>
        <v>0</v>
      </c>
      <c r="ED42" s="20">
        <f t="shared" si="35"/>
        <v>0</v>
      </c>
      <c r="EE42" s="20">
        <f t="shared" si="35"/>
        <v>0</v>
      </c>
      <c r="EF42" s="20">
        <f t="shared" si="36"/>
        <v>0</v>
      </c>
      <c r="EG42" s="20">
        <f t="shared" si="36"/>
        <v>0</v>
      </c>
      <c r="EH42" s="20">
        <f t="shared" si="36"/>
        <v>0</v>
      </c>
      <c r="EI42" s="20">
        <f t="shared" si="36"/>
        <v>0</v>
      </c>
      <c r="EJ42" s="20">
        <f t="shared" si="36"/>
        <v>0</v>
      </c>
      <c r="EL42" s="152">
        <f t="shared" si="37"/>
        <v>0</v>
      </c>
      <c r="EM42" s="152">
        <f t="shared" si="37"/>
        <v>0</v>
      </c>
      <c r="EN42" s="152">
        <f t="shared" si="37"/>
        <v>0</v>
      </c>
      <c r="EO42" s="152">
        <f t="shared" si="37"/>
        <v>0</v>
      </c>
      <c r="EP42" s="152">
        <f t="shared" si="37"/>
        <v>0</v>
      </c>
      <c r="EQ42" s="152">
        <f t="shared" si="37"/>
        <v>0</v>
      </c>
      <c r="ER42" s="152">
        <f t="shared" si="37"/>
        <v>0</v>
      </c>
      <c r="ES42" s="152">
        <f t="shared" si="37"/>
        <v>0</v>
      </c>
      <c r="ET42" s="152">
        <f t="shared" si="37"/>
        <v>0</v>
      </c>
      <c r="EU42" s="8">
        <f t="shared" si="38"/>
        <v>0</v>
      </c>
      <c r="EV42" s="154">
        <f t="shared" si="26"/>
        <v>0</v>
      </c>
      <c r="EW42" s="154">
        <f t="shared" si="26"/>
        <v>0</v>
      </c>
      <c r="EX42" s="154">
        <f t="shared" si="26"/>
        <v>0</v>
      </c>
      <c r="EY42" s="154">
        <f t="shared" si="26"/>
        <v>0</v>
      </c>
      <c r="EZ42" s="154">
        <f t="shared" si="26"/>
        <v>0</v>
      </c>
      <c r="FA42" s="154">
        <f t="shared" si="26"/>
        <v>0</v>
      </c>
      <c r="FB42" s="154">
        <f t="shared" si="26"/>
        <v>0</v>
      </c>
      <c r="FC42" s="154">
        <f t="shared" si="26"/>
        <v>0</v>
      </c>
      <c r="FD42" s="154">
        <f t="shared" si="26"/>
        <v>0</v>
      </c>
      <c r="FF42" s="154"/>
      <c r="FG42" s="154"/>
      <c r="FH42" s="127"/>
      <c r="FI42" s="127"/>
      <c r="FJ42" s="127"/>
      <c r="FK42" s="127"/>
      <c r="FL42" s="127"/>
      <c r="FM42" s="127"/>
      <c r="FN42" s="127"/>
      <c r="FO42" s="127"/>
      <c r="FQ42" s="20">
        <f t="shared" si="39"/>
        <v>0</v>
      </c>
      <c r="FR42" s="20">
        <f t="shared" si="39"/>
        <v>0</v>
      </c>
      <c r="FS42" s="128">
        <f t="shared" si="39"/>
        <v>0</v>
      </c>
      <c r="FT42" s="128">
        <f t="shared" si="39"/>
        <v>0</v>
      </c>
      <c r="FU42" s="128">
        <f t="shared" si="39"/>
        <v>0</v>
      </c>
      <c r="FV42" s="128">
        <f t="shared" si="40"/>
        <v>0</v>
      </c>
      <c r="FW42" s="128">
        <f t="shared" si="40"/>
        <v>0</v>
      </c>
      <c r="FX42" s="128">
        <f t="shared" si="40"/>
        <v>0</v>
      </c>
      <c r="FY42" s="128">
        <f t="shared" si="40"/>
        <v>0</v>
      </c>
      <c r="FZ42" s="128">
        <f t="shared" si="40"/>
        <v>0</v>
      </c>
      <c r="GA42" s="8">
        <f t="shared" si="41"/>
        <v>0</v>
      </c>
    </row>
    <row r="43" spans="2:183" ht="13.5">
      <c r="B43" s="103"/>
      <c r="C43" s="103"/>
      <c r="D43" s="103"/>
      <c r="E43" s="196"/>
      <c r="F43" s="197"/>
      <c r="G43" s="196"/>
      <c r="H43" s="103"/>
      <c r="J43" s="198"/>
      <c r="K43" s="198"/>
      <c r="L43" s="198"/>
      <c r="M43" s="198"/>
      <c r="N43" s="198"/>
      <c r="O43" s="198"/>
      <c r="P43" s="198"/>
      <c r="Q43" s="198"/>
      <c r="R43" s="198"/>
      <c r="S43" s="198"/>
      <c r="U43" s="198"/>
      <c r="V43" s="198"/>
      <c r="W43" s="198"/>
      <c r="X43" s="198"/>
      <c r="Y43" s="198"/>
      <c r="Z43" s="198"/>
      <c r="AA43" s="198"/>
      <c r="AB43" s="198"/>
      <c r="AC43" s="198"/>
      <c r="AD43" s="198"/>
      <c r="AF43" s="199"/>
      <c r="AG43" s="199"/>
      <c r="AH43" s="199"/>
      <c r="AI43" s="199"/>
      <c r="AJ43" s="199"/>
      <c r="AK43" s="199"/>
      <c r="AL43" s="199"/>
      <c r="AM43" s="199"/>
      <c r="AN43" s="199"/>
      <c r="AO43" s="199"/>
      <c r="AQ43" s="198"/>
      <c r="AR43" s="198"/>
      <c r="AS43" s="198"/>
      <c r="AT43" s="198"/>
      <c r="AU43" s="198"/>
      <c r="AV43" s="198"/>
      <c r="AW43" s="198"/>
      <c r="AX43" s="198"/>
      <c r="AY43" s="198"/>
      <c r="AZ43" s="198"/>
      <c r="BB43" s="198"/>
      <c r="BC43" s="198"/>
      <c r="BD43" s="198"/>
      <c r="BE43" s="198"/>
      <c r="BF43" s="198"/>
      <c r="BG43" s="198"/>
      <c r="BH43" s="198"/>
      <c r="BI43" s="198"/>
      <c r="BJ43" s="198"/>
      <c r="BK43" s="198"/>
      <c r="BM43" s="198">
        <f t="shared" si="33"/>
        <v>0</v>
      </c>
      <c r="BN43" s="198">
        <f t="shared" si="33"/>
        <v>0</v>
      </c>
      <c r="BO43" s="198">
        <f t="shared" si="33"/>
        <v>0</v>
      </c>
      <c r="BP43" s="198">
        <f t="shared" si="33"/>
        <v>0</v>
      </c>
      <c r="BQ43" s="198">
        <f t="shared" si="33"/>
        <v>0</v>
      </c>
      <c r="BR43" s="198">
        <f t="shared" si="33"/>
        <v>0</v>
      </c>
      <c r="BS43" s="198">
        <f t="shared" si="33"/>
        <v>0</v>
      </c>
      <c r="BT43" s="198">
        <f t="shared" si="33"/>
        <v>0</v>
      </c>
      <c r="BU43" s="198">
        <f t="shared" si="33"/>
        <v>0</v>
      </c>
      <c r="BV43" s="198">
        <f t="shared" si="33"/>
        <v>0</v>
      </c>
      <c r="BX43" s="200"/>
      <c r="BY43" s="200"/>
      <c r="BZ43" s="200"/>
      <c r="CA43" s="200"/>
      <c r="CB43" s="200"/>
      <c r="CC43" s="200"/>
      <c r="CD43" s="200"/>
      <c r="CE43" s="200"/>
      <c r="CF43" s="200"/>
      <c r="CG43" s="200"/>
      <c r="CI43" s="128">
        <f t="shared" si="34"/>
        <v>0</v>
      </c>
      <c r="CJ43" s="128">
        <f t="shared" si="34"/>
        <v>0</v>
      </c>
      <c r="CK43" s="161">
        <f t="shared" si="34"/>
        <v>0</v>
      </c>
      <c r="CL43" s="161">
        <f t="shared" si="34"/>
        <v>0</v>
      </c>
      <c r="CM43" s="161">
        <f t="shared" si="34"/>
        <v>0</v>
      </c>
      <c r="CN43" s="278">
        <f t="shared" si="34"/>
        <v>0</v>
      </c>
      <c r="CO43" s="278">
        <f t="shared" si="34"/>
        <v>0</v>
      </c>
      <c r="CP43" s="278">
        <f t="shared" si="34"/>
        <v>0</v>
      </c>
      <c r="CQ43" s="278">
        <f t="shared" si="34"/>
        <v>0</v>
      </c>
      <c r="CR43" s="278">
        <f t="shared" si="34"/>
        <v>0</v>
      </c>
      <c r="CT43" s="201"/>
      <c r="CU43" s="201"/>
      <c r="CV43" s="201"/>
      <c r="CW43" s="201"/>
      <c r="CX43" s="201"/>
      <c r="CY43" s="201"/>
      <c r="CZ43" s="201"/>
      <c r="DA43" s="201"/>
      <c r="DB43" s="201"/>
      <c r="DC43" s="201"/>
      <c r="DE43" s="202">
        <f t="shared" si="43"/>
        <v>0</v>
      </c>
      <c r="DF43" s="202">
        <f t="shared" si="43"/>
        <v>0</v>
      </c>
      <c r="DG43" s="202">
        <f t="shared" si="43"/>
        <v>0</v>
      </c>
      <c r="DH43" s="202">
        <f t="shared" si="43"/>
        <v>0</v>
      </c>
      <c r="DI43" s="202">
        <f t="shared" si="43"/>
        <v>0</v>
      </c>
      <c r="DJ43" s="202">
        <f t="shared" si="42"/>
        <v>0</v>
      </c>
      <c r="DK43" s="202">
        <f t="shared" si="42"/>
        <v>0</v>
      </c>
      <c r="DL43" s="202">
        <f t="shared" si="42"/>
        <v>0</v>
      </c>
      <c r="DM43" s="202">
        <f t="shared" si="42"/>
        <v>0</v>
      </c>
      <c r="DN43" s="202">
        <f t="shared" si="42"/>
        <v>0</v>
      </c>
      <c r="DP43" s="202"/>
      <c r="DQ43" s="202"/>
      <c r="DR43" s="202"/>
      <c r="DS43" s="202"/>
      <c r="DT43" s="202"/>
      <c r="DU43" s="202"/>
      <c r="DV43" s="202"/>
      <c r="DW43" s="202"/>
      <c r="DX43" s="202"/>
      <c r="DY43" s="202"/>
      <c r="EA43" s="202">
        <f t="shared" si="35"/>
        <v>0</v>
      </c>
      <c r="EB43" s="202">
        <f t="shared" si="35"/>
        <v>0</v>
      </c>
      <c r="EC43" s="202">
        <f t="shared" si="35"/>
        <v>0</v>
      </c>
      <c r="ED43" s="202">
        <f t="shared" si="35"/>
        <v>0</v>
      </c>
      <c r="EE43" s="202">
        <f t="shared" si="35"/>
        <v>0</v>
      </c>
      <c r="EF43" s="202">
        <f t="shared" si="36"/>
        <v>0</v>
      </c>
      <c r="EG43" s="202">
        <f t="shared" si="36"/>
        <v>0</v>
      </c>
      <c r="EH43" s="202">
        <f t="shared" si="36"/>
        <v>0</v>
      </c>
      <c r="EI43" s="202">
        <f t="shared" si="36"/>
        <v>0</v>
      </c>
      <c r="EJ43" s="202">
        <f t="shared" si="36"/>
        <v>0</v>
      </c>
      <c r="EL43" s="198">
        <f t="shared" si="37"/>
        <v>0</v>
      </c>
      <c r="EM43" s="198">
        <f t="shared" si="37"/>
        <v>0</v>
      </c>
      <c r="EN43" s="198">
        <f t="shared" si="37"/>
        <v>0</v>
      </c>
      <c r="EO43" s="198">
        <f t="shared" si="37"/>
        <v>0</v>
      </c>
      <c r="EP43" s="198">
        <f t="shared" si="37"/>
        <v>0</v>
      </c>
      <c r="EQ43" s="198">
        <f t="shared" si="37"/>
        <v>0</v>
      </c>
      <c r="ER43" s="198">
        <f t="shared" si="37"/>
        <v>0</v>
      </c>
      <c r="ES43" s="198">
        <f t="shared" si="37"/>
        <v>0</v>
      </c>
      <c r="ET43" s="198">
        <f t="shared" si="37"/>
        <v>0</v>
      </c>
      <c r="EU43" s="8">
        <f t="shared" si="38"/>
        <v>0</v>
      </c>
      <c r="EV43" s="154">
        <f t="shared" si="26"/>
        <v>0</v>
      </c>
      <c r="EW43" s="154">
        <f t="shared" si="26"/>
        <v>0</v>
      </c>
      <c r="EX43" s="154">
        <f t="shared" si="26"/>
        <v>0</v>
      </c>
      <c r="EY43" s="154">
        <f t="shared" ref="EY43:FD43" si="44">IFERROR(EO43/EO$44, 0)</f>
        <v>0</v>
      </c>
      <c r="EZ43" s="154">
        <f t="shared" si="44"/>
        <v>0</v>
      </c>
      <c r="FA43" s="154">
        <f t="shared" si="44"/>
        <v>0</v>
      </c>
      <c r="FB43" s="154">
        <f t="shared" si="44"/>
        <v>0</v>
      </c>
      <c r="FC43" s="154">
        <f t="shared" si="44"/>
        <v>0</v>
      </c>
      <c r="FD43" s="154">
        <f t="shared" si="44"/>
        <v>0</v>
      </c>
      <c r="FF43" s="203"/>
      <c r="FG43" s="203"/>
      <c r="FH43" s="203"/>
      <c r="FI43" s="203"/>
      <c r="FJ43" s="203"/>
      <c r="FK43" s="203"/>
      <c r="FL43" s="203"/>
      <c r="FM43" s="203"/>
      <c r="FN43" s="203"/>
      <c r="FO43" s="203"/>
      <c r="FQ43" s="202">
        <f t="shared" si="39"/>
        <v>0</v>
      </c>
      <c r="FR43" s="202">
        <f t="shared" si="39"/>
        <v>0</v>
      </c>
      <c r="FS43" s="202">
        <f t="shared" si="39"/>
        <v>0</v>
      </c>
      <c r="FT43" s="202">
        <f t="shared" si="39"/>
        <v>0</v>
      </c>
      <c r="FU43" s="202">
        <f t="shared" si="39"/>
        <v>0</v>
      </c>
      <c r="FV43" s="202">
        <f t="shared" si="40"/>
        <v>0</v>
      </c>
      <c r="FW43" s="202">
        <f t="shared" si="40"/>
        <v>0</v>
      </c>
      <c r="FX43" s="202">
        <f t="shared" si="40"/>
        <v>0</v>
      </c>
      <c r="FY43" s="202">
        <f t="shared" si="40"/>
        <v>0</v>
      </c>
      <c r="FZ43" s="202">
        <f t="shared" si="40"/>
        <v>0</v>
      </c>
      <c r="GA43" s="8">
        <f t="shared" si="41"/>
        <v>0</v>
      </c>
    </row>
    <row r="44" spans="2:183" ht="14.25" thickBot="1">
      <c r="B44" s="155" t="s">
        <v>76</v>
      </c>
      <c r="C44" s="155"/>
      <c r="D44" s="155"/>
      <c r="E44" s="126"/>
      <c r="F44" s="126"/>
      <c r="G44" s="126"/>
      <c r="H44" s="155"/>
      <c r="J44" s="155"/>
      <c r="K44" s="155"/>
      <c r="L44" s="155"/>
      <c r="M44" s="155"/>
      <c r="N44" s="155"/>
      <c r="O44" s="155"/>
      <c r="P44" s="155"/>
      <c r="Q44" s="155"/>
      <c r="R44" s="155"/>
      <c r="S44" s="155"/>
      <c r="U44" s="155"/>
      <c r="V44" s="155"/>
      <c r="W44" s="155"/>
      <c r="X44" s="155"/>
      <c r="Y44" s="155"/>
      <c r="Z44" s="155"/>
      <c r="AA44" s="155"/>
      <c r="AB44" s="155"/>
      <c r="AC44" s="155"/>
      <c r="AD44" s="155"/>
      <c r="AF44" s="155"/>
      <c r="AG44" s="155"/>
      <c r="AH44" s="155"/>
      <c r="AI44" s="155"/>
      <c r="AJ44" s="155"/>
      <c r="AK44" s="155"/>
      <c r="AL44" s="155"/>
      <c r="AM44" s="155"/>
      <c r="AN44" s="155"/>
      <c r="AO44" s="155"/>
      <c r="AQ44" s="155"/>
      <c r="AR44" s="155"/>
      <c r="AS44" s="155"/>
      <c r="AT44" s="155"/>
      <c r="AU44" s="155"/>
      <c r="AV44" s="155"/>
      <c r="AW44" s="155"/>
      <c r="AX44" s="155"/>
      <c r="AY44" s="155"/>
      <c r="AZ44" s="155"/>
      <c r="BB44" s="155"/>
      <c r="BC44" s="155"/>
      <c r="BD44" s="155"/>
      <c r="BE44" s="155"/>
      <c r="BF44" s="155"/>
      <c r="BG44" s="155"/>
      <c r="BH44" s="155"/>
      <c r="BI44" s="155"/>
      <c r="BJ44" s="155"/>
      <c r="BK44" s="155"/>
      <c r="BM44" s="156">
        <f>SUM(BM8:BM43)</f>
        <v>0</v>
      </c>
      <c r="BN44" s="156">
        <f t="shared" ref="BN44:BQ44" si="45">SUM(BN8:BN43)</f>
        <v>0</v>
      </c>
      <c r="BO44" s="156">
        <f t="shared" si="45"/>
        <v>0</v>
      </c>
      <c r="BP44" s="156">
        <f t="shared" si="45"/>
        <v>0</v>
      </c>
      <c r="BQ44" s="156">
        <f t="shared" si="45"/>
        <v>0</v>
      </c>
      <c r="BR44" s="156">
        <f t="shared" ref="BR44:BU44" si="46">SUM(BR8:BR43)</f>
        <v>0</v>
      </c>
      <c r="BS44" s="156">
        <f t="shared" si="46"/>
        <v>0</v>
      </c>
      <c r="BT44" s="156">
        <f t="shared" si="46"/>
        <v>0</v>
      </c>
      <c r="BU44" s="156">
        <f t="shared" si="46"/>
        <v>0</v>
      </c>
      <c r="BV44" s="156">
        <f t="shared" ref="BV44" si="47">SUM(BV8:BV43)</f>
        <v>0</v>
      </c>
      <c r="BX44" s="24"/>
      <c r="BY44" s="24"/>
      <c r="BZ44" s="24"/>
      <c r="CA44" s="24"/>
      <c r="CB44" s="24"/>
      <c r="CC44" s="24"/>
      <c r="CD44" s="24"/>
      <c r="CE44" s="24"/>
      <c r="CF44" s="24"/>
      <c r="CG44" s="24"/>
      <c r="CI44" s="24">
        <f>SUM(CI$8:CI$43)</f>
        <v>0</v>
      </c>
      <c r="CJ44" s="24">
        <f t="shared" ref="CJ44:CL44" si="48">SUM(CJ$8:CJ$43)</f>
        <v>0</v>
      </c>
      <c r="CK44" s="24">
        <f t="shared" si="48"/>
        <v>0</v>
      </c>
      <c r="CL44" s="24">
        <f t="shared" si="48"/>
        <v>0</v>
      </c>
      <c r="CM44" s="24">
        <f>SUM(CM$8:CM$43)</f>
        <v>0</v>
      </c>
      <c r="CN44" s="24">
        <f t="shared" ref="CN44:CR44" si="49">SUM(CN$8:CN$43)</f>
        <v>0</v>
      </c>
      <c r="CO44" s="24">
        <f t="shared" si="49"/>
        <v>0</v>
      </c>
      <c r="CP44" s="24">
        <f t="shared" si="49"/>
        <v>0</v>
      </c>
      <c r="CQ44" s="24">
        <f t="shared" si="49"/>
        <v>0</v>
      </c>
      <c r="CR44" s="24">
        <f t="shared" si="49"/>
        <v>0</v>
      </c>
      <c r="CT44" s="24">
        <f>SUM(CT$8:CT$22)</f>
        <v>4.4999999999999991</v>
      </c>
      <c r="CU44" s="24">
        <f>SUM(CU$8:CU$22)</f>
        <v>4.4999999999999991</v>
      </c>
      <c r="CV44" s="24">
        <f>SUM(CV$8:CV$22)</f>
        <v>4.4999999999999991</v>
      </c>
      <c r="CW44" s="24">
        <f>SUM(CW$8:CW$22)</f>
        <v>4.4999999999999991</v>
      </c>
      <c r="CX44" s="24">
        <f>SUM(CX$8:CX$22)</f>
        <v>4.4999999999999991</v>
      </c>
      <c r="CY44" s="24"/>
      <c r="CZ44" s="24"/>
      <c r="DA44" s="24"/>
      <c r="DB44" s="24"/>
      <c r="DC44" s="24"/>
      <c r="DE44" s="24">
        <f>SUM(DE$8:DE$43)</f>
        <v>0</v>
      </c>
      <c r="DF44" s="24">
        <f t="shared" ref="DF44:DN44" si="50">SUM(DF$8:DF$43)</f>
        <v>0</v>
      </c>
      <c r="DG44" s="24">
        <f t="shared" si="50"/>
        <v>0</v>
      </c>
      <c r="DH44" s="24">
        <f t="shared" si="50"/>
        <v>0</v>
      </c>
      <c r="DI44" s="24">
        <f t="shared" si="50"/>
        <v>0</v>
      </c>
      <c r="DJ44" s="24">
        <f t="shared" si="50"/>
        <v>0</v>
      </c>
      <c r="DK44" s="24">
        <f t="shared" si="50"/>
        <v>0</v>
      </c>
      <c r="DL44" s="24">
        <f t="shared" si="50"/>
        <v>0</v>
      </c>
      <c r="DM44" s="24">
        <f t="shared" si="50"/>
        <v>0</v>
      </c>
      <c r="DN44" s="24">
        <f t="shared" si="50"/>
        <v>0</v>
      </c>
      <c r="DP44" s="24">
        <f>SUM(DP$8:DP$43)</f>
        <v>0</v>
      </c>
      <c r="DQ44" s="24">
        <f t="shared" ref="DQ44:DT44" si="51">SUM(DQ$8:DQ$43)</f>
        <v>0</v>
      </c>
      <c r="DR44" s="24">
        <f t="shared" si="51"/>
        <v>0</v>
      </c>
      <c r="DS44" s="24">
        <f t="shared" si="51"/>
        <v>0</v>
      </c>
      <c r="DT44" s="24">
        <f t="shared" si="51"/>
        <v>0</v>
      </c>
      <c r="DU44" s="24"/>
      <c r="DV44" s="24"/>
      <c r="DW44" s="24"/>
      <c r="DX44" s="24"/>
      <c r="DY44" s="24"/>
      <c r="EA44" s="24">
        <f>SUM(EA$8:EA$43)</f>
        <v>0</v>
      </c>
      <c r="EB44" s="24">
        <f t="shared" ref="EB44:EJ44" si="52">SUM(EB$8:EB$43)</f>
        <v>0</v>
      </c>
      <c r="EC44" s="24">
        <f t="shared" si="52"/>
        <v>0</v>
      </c>
      <c r="ED44" s="24">
        <f t="shared" si="52"/>
        <v>0</v>
      </c>
      <c r="EE44" s="24">
        <f t="shared" si="52"/>
        <v>0</v>
      </c>
      <c r="EF44" s="24">
        <f t="shared" si="52"/>
        <v>0</v>
      </c>
      <c r="EG44" s="24">
        <f t="shared" si="52"/>
        <v>0</v>
      </c>
      <c r="EH44" s="24">
        <f t="shared" si="52"/>
        <v>0</v>
      </c>
      <c r="EI44" s="24">
        <f t="shared" si="52"/>
        <v>0</v>
      </c>
      <c r="EJ44" s="24">
        <f t="shared" si="52"/>
        <v>0</v>
      </c>
      <c r="EL44" s="156">
        <f>SUM(EL$8:EL$43)</f>
        <v>0</v>
      </c>
      <c r="EM44" s="156">
        <f t="shared" ref="EM44:ET44" si="53">SUM(EM$8:EM$43)</f>
        <v>0</v>
      </c>
      <c r="EN44" s="156">
        <f t="shared" si="53"/>
        <v>0</v>
      </c>
      <c r="EO44" s="156">
        <f t="shared" si="53"/>
        <v>0</v>
      </c>
      <c r="EP44" s="156">
        <f t="shared" si="53"/>
        <v>0</v>
      </c>
      <c r="EQ44" s="156">
        <f t="shared" si="53"/>
        <v>0</v>
      </c>
      <c r="ER44" s="156">
        <f t="shared" si="53"/>
        <v>0</v>
      </c>
      <c r="ES44" s="156">
        <f t="shared" si="53"/>
        <v>0</v>
      </c>
      <c r="ET44" s="156">
        <f t="shared" si="53"/>
        <v>0</v>
      </c>
      <c r="EV44" s="156"/>
      <c r="EW44" s="156"/>
      <c r="EX44" s="156"/>
      <c r="EY44" s="156"/>
      <c r="EZ44" s="156"/>
      <c r="FA44" s="156"/>
      <c r="FB44" s="156"/>
      <c r="FC44" s="156"/>
      <c r="FD44" s="156"/>
      <c r="FF44" s="156"/>
      <c r="FG44" s="156"/>
      <c r="FH44" s="156"/>
      <c r="FI44" s="156"/>
      <c r="FJ44" s="156"/>
      <c r="FK44" s="156"/>
      <c r="FL44" s="156"/>
      <c r="FM44" s="156"/>
      <c r="FN44" s="156"/>
      <c r="FO44" s="156"/>
      <c r="FQ44" s="24">
        <f>SUM(FQ$8:FQ$43)</f>
        <v>0</v>
      </c>
      <c r="FR44" s="24">
        <f t="shared" ref="FR44:FZ44" si="54">SUM(FR$8:FR$43)</f>
        <v>0</v>
      </c>
      <c r="FS44" s="24">
        <f t="shared" si="54"/>
        <v>0</v>
      </c>
      <c r="FT44" s="24">
        <f t="shared" si="54"/>
        <v>0</v>
      </c>
      <c r="FU44" s="24">
        <f t="shared" si="54"/>
        <v>0</v>
      </c>
      <c r="FV44" s="24">
        <f t="shared" si="54"/>
        <v>0</v>
      </c>
      <c r="FW44" s="24">
        <f t="shared" si="54"/>
        <v>0</v>
      </c>
      <c r="FX44" s="24">
        <f t="shared" si="54"/>
        <v>0</v>
      </c>
      <c r="FY44" s="24">
        <f t="shared" si="54"/>
        <v>0</v>
      </c>
      <c r="FZ44" s="24">
        <f t="shared" si="54"/>
        <v>0</v>
      </c>
    </row>
    <row r="45" spans="2:183" ht="13.5"/>
    <row r="46" spans="2:183" ht="13.5">
      <c r="EA46" s="133"/>
      <c r="EB46" s="133"/>
      <c r="EC46" s="133"/>
      <c r="ED46" s="133"/>
      <c r="EE46" s="133"/>
      <c r="EF46" s="133"/>
      <c r="EG46" s="133"/>
      <c r="EH46" s="133"/>
      <c r="EI46" s="133"/>
      <c r="EJ46" s="133"/>
    </row>
    <row r="47" spans="2:183" ht="13.5">
      <c r="EA47" s="129"/>
      <c r="EB47" s="129"/>
      <c r="EC47" s="129"/>
      <c r="ED47" s="129"/>
      <c r="EE47" s="129"/>
      <c r="EF47" s="129"/>
      <c r="EG47" s="129"/>
      <c r="EH47" s="129"/>
      <c r="EI47" s="129"/>
      <c r="EJ47" s="129"/>
    </row>
    <row r="48" spans="2:183" ht="13.5">
      <c r="BX48" s="129"/>
      <c r="BY48" s="129"/>
      <c r="BZ48" s="129"/>
      <c r="CA48" s="129"/>
      <c r="CB48" s="129"/>
      <c r="CC48" s="129"/>
      <c r="CD48" s="129"/>
      <c r="CE48" s="129"/>
      <c r="CF48" s="129"/>
      <c r="CG48" s="129"/>
      <c r="CI48" s="129"/>
      <c r="CJ48" s="129"/>
      <c r="CK48" s="129"/>
      <c r="CL48" s="129"/>
      <c r="CM48" s="129"/>
      <c r="CN48" s="129"/>
      <c r="CO48" s="129"/>
      <c r="CP48" s="129"/>
      <c r="CQ48" s="129"/>
      <c r="CR48" s="129"/>
    </row>
    <row r="49" spans="76:140" ht="14.25" thickBot="1">
      <c r="BX49" s="129"/>
      <c r="BY49" s="129"/>
      <c r="BZ49" s="129"/>
      <c r="CA49" s="129"/>
      <c r="CB49" s="129"/>
      <c r="CC49" s="129"/>
      <c r="CD49" s="129"/>
      <c r="CE49" s="129"/>
      <c r="CF49" s="129"/>
      <c r="CG49" s="129"/>
      <c r="CI49" s="24">
        <v>22311.67</v>
      </c>
      <c r="CJ49" s="24">
        <v>42345.930999999997</v>
      </c>
      <c r="CK49" s="24">
        <v>83347.031473420007</v>
      </c>
      <c r="CL49" s="24">
        <v>102217.40866521202</v>
      </c>
      <c r="CM49" s="24">
        <v>0</v>
      </c>
      <c r="CN49" s="24"/>
      <c r="CO49" s="24"/>
      <c r="CP49" s="24"/>
      <c r="CQ49" s="24"/>
      <c r="CR49" s="24"/>
      <c r="DE49" s="24">
        <v>-6047.2440000000006</v>
      </c>
      <c r="DF49" s="24">
        <v>-15047.482387332504</v>
      </c>
      <c r="DG49" s="24">
        <v>-29872.683282228598</v>
      </c>
      <c r="DH49" s="24">
        <v>-47648.673031563594</v>
      </c>
      <c r="DI49" s="24">
        <v>0</v>
      </c>
      <c r="DJ49" s="24"/>
      <c r="DK49" s="24"/>
      <c r="DL49" s="24"/>
      <c r="DM49" s="24"/>
      <c r="DN49" s="24"/>
      <c r="DP49" s="24">
        <v>-966.56500000000005</v>
      </c>
      <c r="DQ49" s="24">
        <v>-1900</v>
      </c>
      <c r="DR49" s="24">
        <v>-2100</v>
      </c>
      <c r="DS49" s="24">
        <v>-2100</v>
      </c>
      <c r="DT49" s="24">
        <v>0</v>
      </c>
      <c r="DU49" s="24"/>
      <c r="DV49" s="24"/>
      <c r="DW49" s="24"/>
      <c r="DX49" s="24"/>
      <c r="DY49" s="24"/>
      <c r="EA49" s="24">
        <v>15297.861000000001</v>
      </c>
      <c r="EB49" s="24">
        <v>25398.448612667504</v>
      </c>
      <c r="EC49" s="24">
        <v>51374.348191191413</v>
      </c>
      <c r="ED49" s="24">
        <v>52468.735633648408</v>
      </c>
      <c r="EE49" s="24">
        <v>0</v>
      </c>
      <c r="EF49" s="24"/>
      <c r="EG49" s="24"/>
      <c r="EH49" s="24"/>
      <c r="EI49" s="24"/>
      <c r="EJ49" s="24"/>
    </row>
    <row r="50" spans="76:140" ht="13.5">
      <c r="BX50" s="129"/>
      <c r="BY50" s="129"/>
      <c r="BZ50" s="129"/>
      <c r="CA50" s="129"/>
      <c r="CB50" s="129"/>
      <c r="CC50" s="129"/>
      <c r="CD50" s="129"/>
      <c r="CE50" s="129"/>
      <c r="CF50" s="129"/>
      <c r="CG50" s="129"/>
      <c r="CI50" s="133">
        <f>+CI49-CI44</f>
        <v>22311.67</v>
      </c>
      <c r="CJ50" s="133">
        <f>+CJ49-CJ44</f>
        <v>42345.930999999997</v>
      </c>
      <c r="CK50" s="133">
        <f>+CK49-CK44</f>
        <v>83347.031473420007</v>
      </c>
      <c r="CL50" s="133">
        <f>+CL49-CL44</f>
        <v>102217.40866521202</v>
      </c>
      <c r="CM50" s="133">
        <f>+CM49-CM44</f>
        <v>0</v>
      </c>
      <c r="CN50" s="133"/>
      <c r="CO50" s="133"/>
      <c r="CP50" s="133"/>
      <c r="CQ50" s="133"/>
      <c r="CR50" s="133"/>
      <c r="DE50" s="133">
        <f>+DE49-DE44</f>
        <v>-6047.2440000000006</v>
      </c>
      <c r="DF50" s="133">
        <f>+DF49-DF44</f>
        <v>-15047.482387332504</v>
      </c>
      <c r="DG50" s="133">
        <f>+DG49-DG44</f>
        <v>-29872.683282228598</v>
      </c>
      <c r="DH50" s="133">
        <f>+DH49-DH44</f>
        <v>-47648.673031563594</v>
      </c>
      <c r="DI50" s="133">
        <f>+DI49-DI44</f>
        <v>0</v>
      </c>
      <c r="DJ50" s="133"/>
      <c r="DK50" s="133"/>
      <c r="DL50" s="133"/>
      <c r="DM50" s="133"/>
      <c r="DN50" s="133"/>
      <c r="DP50" s="133">
        <f>+DP49-DP44</f>
        <v>-966.56500000000005</v>
      </c>
      <c r="DQ50" s="133">
        <f>+DQ49-DQ44</f>
        <v>-1900</v>
      </c>
      <c r="DR50" s="133">
        <f>+DR49-DR44</f>
        <v>-2100</v>
      </c>
      <c r="DS50" s="133">
        <f>+DS49-DS44</f>
        <v>-2100</v>
      </c>
      <c r="DT50" s="133">
        <f>+DT49-DT44</f>
        <v>0</v>
      </c>
      <c r="DU50" s="133"/>
      <c r="DV50" s="133"/>
      <c r="DW50" s="133"/>
      <c r="DX50" s="133"/>
      <c r="DY50" s="133"/>
      <c r="EA50" s="133">
        <f>+EA49-EA44</f>
        <v>15297.861000000001</v>
      </c>
      <c r="EB50" s="133">
        <f>+EB49-EB44</f>
        <v>25398.448612667504</v>
      </c>
      <c r="EC50" s="133">
        <f>+EC49-EC44</f>
        <v>51374.348191191413</v>
      </c>
      <c r="ED50" s="133">
        <f>+ED49-ED44</f>
        <v>52468.735633648408</v>
      </c>
      <c r="EE50" s="133">
        <f>+EE49-EE44</f>
        <v>0</v>
      </c>
      <c r="EF50" s="133"/>
      <c r="EG50" s="133"/>
      <c r="EH50" s="133"/>
      <c r="EI50" s="133"/>
      <c r="EJ50" s="133"/>
    </row>
    <row r="51" spans="76:140" ht="13.5">
      <c r="BX51" s="129"/>
      <c r="BY51" s="129"/>
      <c r="BZ51" s="129"/>
      <c r="CA51" s="129"/>
      <c r="CB51" s="129"/>
      <c r="CC51" s="129"/>
      <c r="CD51" s="129"/>
      <c r="CE51" s="129"/>
      <c r="CF51" s="129"/>
      <c r="CG51" s="129"/>
      <c r="CI51" s="133"/>
      <c r="CJ51" s="133"/>
      <c r="CK51" s="133"/>
      <c r="CL51" s="133"/>
      <c r="CM51" s="133"/>
      <c r="CN51" s="133"/>
      <c r="CO51" s="133"/>
      <c r="CP51" s="133"/>
      <c r="CQ51" s="133"/>
      <c r="CR51" s="133"/>
      <c r="DE51" s="133"/>
      <c r="DF51" s="133"/>
      <c r="DG51" s="133"/>
      <c r="DH51" s="133"/>
      <c r="DI51" s="133"/>
      <c r="DJ51" s="133"/>
      <c r="DK51" s="133"/>
      <c r="DL51" s="133"/>
      <c r="DM51" s="133"/>
      <c r="DN51" s="133"/>
      <c r="DP51" s="133"/>
      <c r="DQ51" s="133"/>
      <c r="DR51" s="133"/>
      <c r="DS51" s="133"/>
      <c r="DT51" s="133"/>
      <c r="DU51" s="133"/>
      <c r="DV51" s="133"/>
      <c r="DW51" s="133"/>
      <c r="DX51" s="133"/>
      <c r="DY51" s="133"/>
      <c r="EA51" s="133"/>
      <c r="EB51" s="133"/>
      <c r="EC51" s="133"/>
      <c r="ED51" s="133"/>
      <c r="EE51" s="133"/>
      <c r="EF51" s="133"/>
      <c r="EG51" s="133"/>
      <c r="EH51" s="133"/>
      <c r="EI51" s="133"/>
      <c r="EJ51" s="133"/>
    </row>
    <row r="52" spans="76:140" ht="13.5">
      <c r="BX52" s="129"/>
      <c r="BY52" s="129"/>
      <c r="BZ52" s="129"/>
      <c r="CA52" s="129"/>
      <c r="CB52" s="129"/>
      <c r="CC52" s="129"/>
      <c r="CD52" s="129"/>
      <c r="CE52" s="129"/>
      <c r="CF52" s="129"/>
      <c r="CG52" s="129"/>
      <c r="CI52" s="169">
        <f>EA44</f>
        <v>0</v>
      </c>
      <c r="CJ52" s="169">
        <f>EB44</f>
        <v>0</v>
      </c>
      <c r="CK52" s="169">
        <f>EC44</f>
        <v>0</v>
      </c>
      <c r="CL52" s="169">
        <f>ED44</f>
        <v>0</v>
      </c>
      <c r="CM52" s="169">
        <f>EE44</f>
        <v>0</v>
      </c>
      <c r="CN52" s="169"/>
      <c r="CO52" s="169"/>
      <c r="CP52" s="169"/>
      <c r="CQ52" s="169"/>
      <c r="CR52" s="169"/>
    </row>
    <row r="53" spans="76:140" ht="13.5">
      <c r="BX53" s="129"/>
      <c r="BY53" s="129"/>
      <c r="BZ53" s="129"/>
      <c r="CA53" s="129"/>
      <c r="CB53" s="129"/>
      <c r="CC53" s="129"/>
      <c r="CD53" s="129"/>
      <c r="CE53" s="129"/>
      <c r="CF53" s="129"/>
      <c r="CG53" s="129"/>
      <c r="CI53" s="169">
        <f>EA50</f>
        <v>15297.861000000001</v>
      </c>
      <c r="CJ53" s="169">
        <f t="shared" ref="CJ53:CM53" si="55">EB50</f>
        <v>25398.448612667504</v>
      </c>
      <c r="CK53" s="169">
        <f t="shared" si="55"/>
        <v>51374.348191191413</v>
      </c>
      <c r="CL53" s="169">
        <f t="shared" si="55"/>
        <v>52468.735633648408</v>
      </c>
      <c r="CM53" s="169">
        <f t="shared" si="55"/>
        <v>0</v>
      </c>
      <c r="CN53" s="169"/>
      <c r="CO53" s="169"/>
      <c r="CP53" s="169"/>
      <c r="CQ53" s="169"/>
      <c r="CR53" s="169"/>
    </row>
    <row r="54" spans="76:140" ht="13.5">
      <c r="BX54" s="129"/>
      <c r="BY54" s="129"/>
      <c r="BZ54" s="129"/>
      <c r="CA54" s="129"/>
      <c r="CB54" s="129"/>
      <c r="CC54" s="129"/>
      <c r="CD54" s="129"/>
      <c r="CE54" s="129"/>
      <c r="CF54" s="129"/>
      <c r="CG54" s="129"/>
      <c r="CI54" s="129"/>
      <c r="CJ54" s="129"/>
      <c r="CK54" s="129"/>
      <c r="CL54" s="129"/>
      <c r="CM54" s="129"/>
      <c r="CN54" s="129"/>
      <c r="CO54" s="129"/>
      <c r="CP54" s="129"/>
      <c r="CQ54" s="129"/>
      <c r="CR54" s="129"/>
    </row>
    <row r="55" spans="76:140" ht="13.5">
      <c r="BX55" s="129"/>
      <c r="BY55" s="129"/>
      <c r="BZ55" s="129"/>
      <c r="CA55" s="129"/>
      <c r="CB55" s="129"/>
      <c r="CC55" s="129"/>
      <c r="CD55" s="129"/>
      <c r="CE55" s="129"/>
      <c r="CF55" s="129"/>
      <c r="CG55" s="129"/>
      <c r="CI55" s="129"/>
      <c r="CJ55" s="129"/>
      <c r="CK55" s="129">
        <f>CK52-CJ52</f>
        <v>0</v>
      </c>
      <c r="CL55" s="129">
        <f>CL52-CK52</f>
        <v>0</v>
      </c>
      <c r="CM55" s="129">
        <f>CM52-CL52</f>
        <v>0</v>
      </c>
      <c r="CN55" s="129"/>
      <c r="CO55" s="129"/>
      <c r="CP55" s="129"/>
      <c r="CQ55" s="129"/>
      <c r="CR55" s="129"/>
    </row>
    <row r="56" spans="76:140" ht="13.5">
      <c r="BX56" s="129"/>
      <c r="BY56" s="129"/>
      <c r="BZ56" s="129"/>
      <c r="CA56" s="129"/>
      <c r="CB56" s="129"/>
      <c r="CC56" s="129"/>
      <c r="CD56" s="129"/>
      <c r="CE56" s="129"/>
      <c r="CF56" s="129"/>
      <c r="CG56" s="129"/>
      <c r="CI56" s="129"/>
      <c r="CJ56" s="129"/>
      <c r="CK56" s="106" t="e">
        <f>CK55/CJ52</f>
        <v>#DIV/0!</v>
      </c>
      <c r="CL56" s="106" t="e">
        <f>CL55/CK52</f>
        <v>#DIV/0!</v>
      </c>
      <c r="CM56" s="106" t="e">
        <f>CM55/CL52</f>
        <v>#DIV/0!</v>
      </c>
      <c r="CN56" s="106"/>
      <c r="CO56" s="106"/>
      <c r="CP56" s="106"/>
      <c r="CQ56" s="106"/>
      <c r="CR56" s="106"/>
    </row>
    <row r="57" spans="76:140" ht="13.5">
      <c r="BX57" s="129"/>
      <c r="BY57" s="129"/>
      <c r="BZ57" s="129"/>
      <c r="CA57" s="129"/>
      <c r="CB57" s="129"/>
      <c r="CC57" s="129"/>
      <c r="CD57" s="129"/>
      <c r="CE57" s="129"/>
      <c r="CF57" s="129"/>
      <c r="CG57" s="129"/>
      <c r="CI57" s="129"/>
      <c r="CJ57" s="129"/>
      <c r="CK57" s="129"/>
      <c r="CL57" s="129"/>
      <c r="CM57" s="129"/>
      <c r="CN57" s="129"/>
      <c r="CO57" s="129"/>
      <c r="CP57" s="129"/>
      <c r="CQ57" s="129"/>
      <c r="CR57" s="129"/>
    </row>
    <row r="58" spans="76:140" ht="13.5">
      <c r="BX58" s="129"/>
      <c r="BY58" s="129"/>
      <c r="BZ58" s="129"/>
      <c r="CA58" s="129"/>
      <c r="CB58" s="129"/>
      <c r="CC58" s="129"/>
      <c r="CD58" s="129"/>
      <c r="CE58" s="129"/>
      <c r="CF58" s="129"/>
      <c r="CG58" s="129"/>
      <c r="CI58" s="129"/>
      <c r="CJ58" s="129"/>
      <c r="CK58" s="129"/>
      <c r="CL58" s="129"/>
      <c r="CM58" s="129"/>
      <c r="CN58" s="129"/>
      <c r="CO58" s="129"/>
      <c r="CP58" s="129"/>
      <c r="CQ58" s="129"/>
      <c r="CR58" s="129"/>
    </row>
    <row r="59" spans="76:140" ht="13.5">
      <c r="BX59" s="129"/>
      <c r="BY59" s="129"/>
      <c r="BZ59" s="129"/>
      <c r="CA59" s="129"/>
      <c r="CB59" s="129"/>
      <c r="CC59" s="129"/>
      <c r="CD59" s="129"/>
      <c r="CE59" s="129"/>
      <c r="CF59" s="129"/>
      <c r="CG59" s="129"/>
      <c r="CI59" s="129"/>
      <c r="CJ59" s="129"/>
      <c r="CK59" s="129"/>
      <c r="CL59" s="129"/>
      <c r="CM59" s="129"/>
      <c r="CN59" s="129"/>
      <c r="CO59" s="129"/>
      <c r="CP59" s="129"/>
      <c r="CQ59" s="129"/>
      <c r="CR59" s="129"/>
    </row>
  </sheetData>
  <conditionalFormatting sqref="EV8:FD12 EV15:FD43">
    <cfRule type="colorScale" priority="35">
      <colorScale>
        <cfvo type="min"/>
        <cfvo type="percentile" val="50"/>
        <cfvo type="max"/>
        <color rgb="FFF4FAF6"/>
        <color rgb="FFFFF4BD"/>
        <color rgb="FFFDCFD0"/>
      </colorScale>
    </cfRule>
  </conditionalFormatting>
  <conditionalFormatting sqref="EV13:FD13">
    <cfRule type="colorScale" priority="33">
      <colorScale>
        <cfvo type="min"/>
        <cfvo type="percentile" val="50"/>
        <cfvo type="max"/>
        <color rgb="FFF4FAF6"/>
        <color rgb="FFFFF4BD"/>
        <color rgb="FFFDCFD0"/>
      </colorScale>
    </cfRule>
  </conditionalFormatting>
  <conditionalFormatting sqref="EV14:FD14">
    <cfRule type="colorScale" priority="34">
      <colorScale>
        <cfvo type="min"/>
        <cfvo type="percentile" val="50"/>
        <cfvo type="max"/>
        <color rgb="FFF4FAF6"/>
        <color rgb="FFFFF4BD"/>
        <color rgb="FFFDCFD0"/>
      </colorScale>
    </cfRule>
  </conditionalFormatting>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39C1B-200E-4126-A8F0-90BA4D9A163C}">
  <sheetPr>
    <tabColor theme="6"/>
    <pageSetUpPr fitToPage="1"/>
  </sheetPr>
  <dimension ref="A1:N65"/>
  <sheetViews>
    <sheetView workbookViewId="0"/>
  </sheetViews>
  <sheetFormatPr defaultColWidth="0" defaultRowHeight="15" outlineLevelRow="1" outlineLevelCol="1"/>
  <cols>
    <col min="1" max="1" width="1.5546875" style="8" customWidth="1"/>
    <col min="2" max="2" width="21.44140625" style="8" bestFit="1" customWidth="1"/>
    <col min="3" max="3" width="21.44140625" style="8" customWidth="1"/>
    <col min="4" max="4" width="10.5546875" style="8" hidden="1" customWidth="1" outlineLevel="1"/>
    <col min="5" max="5" width="10.5546875" style="8" bestFit="1" customWidth="1" collapsed="1"/>
    <col min="6" max="8" width="10.44140625" style="8" bestFit="1" customWidth="1"/>
    <col min="9" max="13" width="10" style="8" bestFit="1" customWidth="1"/>
    <col min="14" max="14" width="1.5546875" style="8" customWidth="1"/>
    <col min="15" max="16384" width="8.5546875" hidden="1"/>
  </cols>
  <sheetData>
    <row r="1" spans="1:14" ht="35.25">
      <c r="A1" s="452"/>
      <c r="B1" s="10" t="s">
        <v>73</v>
      </c>
      <c r="C1" s="10"/>
      <c r="D1" s="11"/>
      <c r="E1" s="11"/>
      <c r="F1" s="11"/>
      <c r="G1" s="11"/>
      <c r="H1" s="11"/>
      <c r="I1" s="11"/>
      <c r="J1" s="11"/>
      <c r="K1" s="11"/>
      <c r="L1" s="11"/>
      <c r="M1" s="11"/>
      <c r="N1" s="11"/>
    </row>
    <row r="3" spans="1:14">
      <c r="B3" s="12" t="s">
        <v>64</v>
      </c>
      <c r="C3" s="12"/>
      <c r="D3" s="13">
        <v>2022</v>
      </c>
      <c r="E3" s="13">
        <f>D3+1</f>
        <v>2023</v>
      </c>
      <c r="F3" s="13">
        <f t="shared" ref="F3:M3" si="0">E3+1</f>
        <v>2024</v>
      </c>
      <c r="G3" s="13">
        <f t="shared" si="0"/>
        <v>2025</v>
      </c>
      <c r="H3" s="13">
        <f t="shared" si="0"/>
        <v>2026</v>
      </c>
      <c r="I3" s="13">
        <f t="shared" si="0"/>
        <v>2027</v>
      </c>
      <c r="J3" s="13">
        <f t="shared" si="0"/>
        <v>2028</v>
      </c>
      <c r="K3" s="13">
        <f t="shared" si="0"/>
        <v>2029</v>
      </c>
      <c r="L3" s="13">
        <f t="shared" si="0"/>
        <v>2030</v>
      </c>
      <c r="M3" s="13">
        <f t="shared" si="0"/>
        <v>2031</v>
      </c>
    </row>
    <row r="4" spans="1:14" ht="3" customHeight="1">
      <c r="B4" s="100"/>
      <c r="C4" s="100"/>
    </row>
    <row r="5" spans="1:14" outlineLevel="1">
      <c r="B5" s="108" t="s">
        <v>168</v>
      </c>
      <c r="C5" s="108" t="s">
        <v>136</v>
      </c>
      <c r="D5" s="109"/>
      <c r="E5" s="109"/>
      <c r="F5" s="109"/>
      <c r="G5" s="109"/>
      <c r="H5" s="109"/>
      <c r="I5" s="109"/>
      <c r="J5" s="109"/>
      <c r="K5" s="109"/>
      <c r="L5" s="109"/>
      <c r="M5" s="109"/>
    </row>
    <row r="6" spans="1:14" outlineLevel="1">
      <c r="B6" s="19" t="s">
        <v>429</v>
      </c>
      <c r="C6" s="19" t="s">
        <v>435</v>
      </c>
      <c r="D6" s="152">
        <f>SUMIFS('TUC JV High Level Sales Plan'!BH:BH,'TUC JV High Level Sales Plan'!$C:$C,$B6,'TUC JV High Level Sales Plan'!$D:$D,$C6)</f>
        <v>12</v>
      </c>
      <c r="E6" s="152">
        <f>'TUC JV High Level Sales Plan'!BN8</f>
        <v>173.60074791201029</v>
      </c>
      <c r="F6" s="152">
        <f>'TUC JV High Level Sales Plan'!BO8</f>
        <v>378.67070183445901</v>
      </c>
      <c r="G6" s="152">
        <f>'TUC JV High Level Sales Plan'!BP8</f>
        <v>842.4</v>
      </c>
      <c r="H6" s="152">
        <f>'TUC JV High Level Sales Plan'!BQ8</f>
        <v>936</v>
      </c>
      <c r="I6" s="152">
        <f>'TUC JV High Level Sales Plan'!BR8</f>
        <v>936</v>
      </c>
      <c r="J6" s="152">
        <f>'TUC JV High Level Sales Plan'!BS8</f>
        <v>936</v>
      </c>
      <c r="K6" s="152">
        <f>'TUC JV High Level Sales Plan'!BT8</f>
        <v>936</v>
      </c>
      <c r="L6" s="152">
        <f>'TUC JV High Level Sales Plan'!BU8</f>
        <v>936</v>
      </c>
      <c r="M6" s="152">
        <f>'TUC JV High Level Sales Plan'!BV8</f>
        <v>936</v>
      </c>
    </row>
    <row r="7" spans="1:14" outlineLevel="1">
      <c r="B7" s="19" t="s">
        <v>429</v>
      </c>
      <c r="C7" s="19" t="s">
        <v>436</v>
      </c>
      <c r="D7" s="152">
        <f>SUMIFS('TUC JV High Level Sales Plan'!BH:BH,'TUC JV High Level Sales Plan'!$C:$C,$B7,'TUC JV High Level Sales Plan'!$D:$D,$C7)</f>
        <v>12</v>
      </c>
      <c r="E7" s="152">
        <f>'TUC JV High Level Sales Plan'!BN9</f>
        <v>456</v>
      </c>
      <c r="F7" s="152">
        <f>'TUC JV High Level Sales Plan'!BO9</f>
        <v>842.4</v>
      </c>
      <c r="G7" s="152">
        <f>'TUC JV High Level Sales Plan'!BP9</f>
        <v>1544.4</v>
      </c>
      <c r="H7" s="152">
        <f>'TUC JV High Level Sales Plan'!BQ9</f>
        <v>2028</v>
      </c>
      <c r="I7" s="152">
        <f>'TUC JV High Level Sales Plan'!BR9</f>
        <v>2028</v>
      </c>
      <c r="J7" s="152">
        <f>'TUC JV High Level Sales Plan'!BS9</f>
        <v>2028</v>
      </c>
      <c r="K7" s="152">
        <f>'TUC JV High Level Sales Plan'!BT9</f>
        <v>2028</v>
      </c>
      <c r="L7" s="152">
        <f>'TUC JV High Level Sales Plan'!BU9</f>
        <v>2028</v>
      </c>
      <c r="M7" s="152">
        <f>'TUC JV High Level Sales Plan'!BV9</f>
        <v>2028</v>
      </c>
    </row>
    <row r="8" spans="1:14" outlineLevel="1">
      <c r="B8" s="19" t="s">
        <v>429</v>
      </c>
      <c r="C8" s="19" t="s">
        <v>122</v>
      </c>
      <c r="D8" s="152">
        <f>SUMIFS('TUC JV High Level Sales Plan'!BH:BH,'TUC JV High Level Sales Plan'!$C:$C,$B8,'TUC JV High Level Sales Plan'!$D:$D,$C8)</f>
        <v>0</v>
      </c>
      <c r="E8" s="152">
        <f>'TUC JV High Level Sales Plan'!BN10</f>
        <v>0</v>
      </c>
      <c r="F8" s="152">
        <f>'TUC JV High Level Sales Plan'!BO10</f>
        <v>0</v>
      </c>
      <c r="G8" s="152">
        <f>'TUC JV High Level Sales Plan'!BP10</f>
        <v>0</v>
      </c>
      <c r="H8" s="152">
        <f>'TUC JV High Level Sales Plan'!BQ10</f>
        <v>0</v>
      </c>
      <c r="I8" s="152">
        <f>'TUC JV High Level Sales Plan'!BR10</f>
        <v>0</v>
      </c>
      <c r="J8" s="152">
        <f>'TUC JV High Level Sales Plan'!BS10</f>
        <v>0</v>
      </c>
      <c r="K8" s="152">
        <f>'TUC JV High Level Sales Plan'!BT10</f>
        <v>0</v>
      </c>
      <c r="L8" s="152">
        <f>'TUC JV High Level Sales Plan'!BU10</f>
        <v>0</v>
      </c>
      <c r="M8" s="152">
        <f>'TUC JV High Level Sales Plan'!BV10</f>
        <v>0</v>
      </c>
    </row>
    <row r="9" spans="1:14" outlineLevel="1">
      <c r="B9" s="19" t="s">
        <v>429</v>
      </c>
      <c r="C9" s="19" t="s">
        <v>433</v>
      </c>
      <c r="D9" s="152">
        <f>SUMIFS('TUC JV High Level Sales Plan'!BH:BH,'TUC JV High Level Sales Plan'!$C:$C,$B9,'TUC JV High Level Sales Plan'!$D:$D,$C9)</f>
        <v>3</v>
      </c>
      <c r="E9" s="152">
        <f>'TUC JV High Level Sales Plan'!BN11</f>
        <v>0</v>
      </c>
      <c r="F9" s="152">
        <f>'TUC JV High Level Sales Plan'!BO11</f>
        <v>312</v>
      </c>
      <c r="G9" s="152">
        <f>'TUC JV High Level Sales Plan'!BP11</f>
        <v>561.6</v>
      </c>
      <c r="H9" s="152">
        <f>'TUC JV High Level Sales Plan'!BQ11</f>
        <v>624</v>
      </c>
      <c r="I9" s="152">
        <f>'TUC JV High Level Sales Plan'!BR11</f>
        <v>624</v>
      </c>
      <c r="J9" s="152">
        <f>'TUC JV High Level Sales Plan'!BS11</f>
        <v>624</v>
      </c>
      <c r="K9" s="152">
        <f>'TUC JV High Level Sales Plan'!BT11</f>
        <v>624</v>
      </c>
      <c r="L9" s="152">
        <f>'TUC JV High Level Sales Plan'!BU11</f>
        <v>624</v>
      </c>
      <c r="M9" s="152">
        <f>'TUC JV High Level Sales Plan'!BV11</f>
        <v>624</v>
      </c>
    </row>
    <row r="10" spans="1:14" outlineLevel="1">
      <c r="B10" s="19" t="s">
        <v>429</v>
      </c>
      <c r="C10" s="19" t="s">
        <v>129</v>
      </c>
      <c r="D10" s="152">
        <f>SUMIFS('TUC JV High Level Sales Plan'!BH:BH,'TUC JV High Level Sales Plan'!$C:$C,$B10,'TUC JV High Level Sales Plan'!$D:$D,$C10)</f>
        <v>2</v>
      </c>
      <c r="E10" s="152">
        <f>'TUC JV High Level Sales Plan'!BN12</f>
        <v>30</v>
      </c>
      <c r="F10" s="152">
        <f>'TUC JV High Level Sales Plan'!BO12</f>
        <v>140.4</v>
      </c>
      <c r="G10" s="152">
        <f>'TUC JV High Level Sales Plan'!BP12</f>
        <v>257.39999999999998</v>
      </c>
      <c r="H10" s="152">
        <f>'TUC JV High Level Sales Plan'!BQ12</f>
        <v>338</v>
      </c>
      <c r="I10" s="152">
        <f>'TUC JV High Level Sales Plan'!BR12</f>
        <v>390</v>
      </c>
      <c r="J10" s="152">
        <f>'TUC JV High Level Sales Plan'!BS12</f>
        <v>390</v>
      </c>
      <c r="K10" s="152">
        <f>'TUC JV High Level Sales Plan'!BT12</f>
        <v>390</v>
      </c>
      <c r="L10" s="152">
        <f>'TUC JV High Level Sales Plan'!BU12</f>
        <v>390</v>
      </c>
      <c r="M10" s="152">
        <f>'TUC JV High Level Sales Plan'!BV12</f>
        <v>390</v>
      </c>
    </row>
    <row r="11" spans="1:14" outlineLevel="1">
      <c r="B11" s="19" t="s">
        <v>429</v>
      </c>
      <c r="C11" s="19" t="s">
        <v>167</v>
      </c>
      <c r="D11" s="152">
        <f>SUMIFS('TUC JV High Level Sales Plan'!BH:BH,'TUC JV High Level Sales Plan'!$C:$C,$B11,'TUC JV High Level Sales Plan'!$D:$D,$C11)</f>
        <v>3</v>
      </c>
      <c r="E11" s="152">
        <f>'TUC JV High Level Sales Plan'!BN13</f>
        <v>0</v>
      </c>
      <c r="F11" s="152">
        <f>'TUC JV High Level Sales Plan'!BO13</f>
        <v>0</v>
      </c>
      <c r="G11" s="152">
        <f>'TUC JV High Level Sales Plan'!BP13</f>
        <v>0</v>
      </c>
      <c r="H11" s="152">
        <f>'TUC JV High Level Sales Plan'!BQ13</f>
        <v>0</v>
      </c>
      <c r="I11" s="152">
        <f>'TUC JV High Level Sales Plan'!BR13</f>
        <v>0</v>
      </c>
      <c r="J11" s="152">
        <f>'TUC JV High Level Sales Plan'!BS13</f>
        <v>0</v>
      </c>
      <c r="K11" s="152">
        <f>'TUC JV High Level Sales Plan'!BT13</f>
        <v>0</v>
      </c>
      <c r="L11" s="152">
        <f>'TUC JV High Level Sales Plan'!BU13</f>
        <v>0</v>
      </c>
      <c r="M11" s="152">
        <f>'TUC JV High Level Sales Plan'!BV13</f>
        <v>0</v>
      </c>
    </row>
    <row r="12" spans="1:14" outlineLevel="1">
      <c r="B12" s="19" t="s">
        <v>429</v>
      </c>
      <c r="C12" s="19" t="s">
        <v>170</v>
      </c>
      <c r="D12" s="152">
        <f>SUMIFS('TUC JV High Level Sales Plan'!BH:BH,'TUC JV High Level Sales Plan'!$C:$C,$B12,'TUC JV High Level Sales Plan'!$D:$D,$C12)</f>
        <v>8</v>
      </c>
      <c r="E12" s="152">
        <f>'TUC JV High Level Sales Plan'!BN14</f>
        <v>0</v>
      </c>
      <c r="F12" s="152">
        <f>'TUC JV High Level Sales Plan'!BO14</f>
        <v>0</v>
      </c>
      <c r="G12" s="152">
        <f>'TUC JV High Level Sales Plan'!BP14</f>
        <v>0</v>
      </c>
      <c r="H12" s="152">
        <f>'TUC JV High Level Sales Plan'!BQ14</f>
        <v>0</v>
      </c>
      <c r="I12" s="152">
        <f>'TUC JV High Level Sales Plan'!BR14</f>
        <v>0</v>
      </c>
      <c r="J12" s="152">
        <f>'TUC JV High Level Sales Plan'!BS14</f>
        <v>0</v>
      </c>
      <c r="K12" s="152">
        <f>'TUC JV High Level Sales Plan'!BT14</f>
        <v>0</v>
      </c>
      <c r="L12" s="152">
        <f>'TUC JV High Level Sales Plan'!BU14</f>
        <v>0</v>
      </c>
      <c r="M12" s="152">
        <f>'TUC JV High Level Sales Plan'!BV14</f>
        <v>0</v>
      </c>
    </row>
    <row r="13" spans="1:14" outlineLevel="1">
      <c r="B13" s="19" t="s">
        <v>434</v>
      </c>
      <c r="C13" s="19" t="s">
        <v>435</v>
      </c>
      <c r="D13" s="152">
        <f>SUMIFS('TUC JV High Level Sales Plan'!BH:BH,'TUC JV High Level Sales Plan'!$C:$C,$B13,'TUC JV High Level Sales Plan'!$D:$D,$C13)</f>
        <v>12</v>
      </c>
      <c r="E13" s="152">
        <f>'TUC JV High Level Sales Plan'!BN15</f>
        <v>142.53535091722955</v>
      </c>
      <c r="F13" s="152">
        <f>'TUC JV High Level Sales Plan'!BO15</f>
        <v>220.89124273676777</v>
      </c>
      <c r="G13" s="152">
        <f>'TUC JV High Level Sales Plan'!BP15</f>
        <v>468</v>
      </c>
      <c r="H13" s="152">
        <f>'TUC JV High Level Sales Plan'!BQ15</f>
        <v>514.79999999999995</v>
      </c>
      <c r="I13" s="152">
        <f>'TUC JV High Level Sales Plan'!BR15</f>
        <v>566.28</v>
      </c>
      <c r="J13" s="152">
        <f>'TUC JV High Level Sales Plan'!BS15</f>
        <v>566.28</v>
      </c>
      <c r="K13" s="152">
        <f>'TUC JV High Level Sales Plan'!BT15</f>
        <v>566.28</v>
      </c>
      <c r="L13" s="152">
        <f>'TUC JV High Level Sales Plan'!BU15</f>
        <v>566.28</v>
      </c>
      <c r="M13" s="152">
        <f>'TUC JV High Level Sales Plan'!BV15</f>
        <v>566.28</v>
      </c>
    </row>
    <row r="14" spans="1:14" outlineLevel="1">
      <c r="B14" s="19" t="s">
        <v>434</v>
      </c>
      <c r="C14" s="19" t="s">
        <v>436</v>
      </c>
      <c r="D14" s="152">
        <f>SUMIFS('TUC JV High Level Sales Plan'!BH:BH,'TUC JV High Level Sales Plan'!$C:$C,$B14,'TUC JV High Level Sales Plan'!$D:$D,$C14)</f>
        <v>12</v>
      </c>
      <c r="E14" s="152">
        <f>'TUC JV High Level Sales Plan'!BN16</f>
        <v>374.4</v>
      </c>
      <c r="F14" s="152">
        <f>'TUC JV High Level Sales Plan'!BO16</f>
        <v>491.4</v>
      </c>
      <c r="G14" s="152">
        <f>'TUC JV High Level Sales Plan'!BP16</f>
        <v>858</v>
      </c>
      <c r="H14" s="152">
        <f>'TUC JV High Level Sales Plan'!BQ16</f>
        <v>1115.4000000000001</v>
      </c>
      <c r="I14" s="152">
        <f>'TUC JV High Level Sales Plan'!BR16</f>
        <v>1226.94</v>
      </c>
      <c r="J14" s="152">
        <f>'TUC JV High Level Sales Plan'!BS16</f>
        <v>1226.94</v>
      </c>
      <c r="K14" s="152">
        <f>'TUC JV High Level Sales Plan'!BT16</f>
        <v>1226.94</v>
      </c>
      <c r="L14" s="152">
        <f>'TUC JV High Level Sales Plan'!BU16</f>
        <v>1226.94</v>
      </c>
      <c r="M14" s="152">
        <f>'TUC JV High Level Sales Plan'!BV16</f>
        <v>1226.94</v>
      </c>
    </row>
    <row r="15" spans="1:14" outlineLevel="1">
      <c r="B15" s="19" t="s">
        <v>434</v>
      </c>
      <c r="C15" s="19" t="s">
        <v>122</v>
      </c>
      <c r="D15" s="152">
        <f>SUMIFS('TUC JV High Level Sales Plan'!BH:BH,'TUC JV High Level Sales Plan'!$C:$C,$B15,'TUC JV High Level Sales Plan'!$D:$D,$C15)</f>
        <v>6</v>
      </c>
      <c r="E15" s="152">
        <f>'TUC JV High Level Sales Plan'!BN17</f>
        <v>0</v>
      </c>
      <c r="F15" s="152">
        <f>'TUC JV High Level Sales Plan'!BO17</f>
        <v>0</v>
      </c>
      <c r="G15" s="152">
        <f>'TUC JV High Level Sales Plan'!BP17</f>
        <v>0</v>
      </c>
      <c r="H15" s="152">
        <f>'TUC JV High Level Sales Plan'!BQ17</f>
        <v>0</v>
      </c>
      <c r="I15" s="152">
        <f>'TUC JV High Level Sales Plan'!BR17</f>
        <v>0</v>
      </c>
      <c r="J15" s="152">
        <f>'TUC JV High Level Sales Plan'!BS17</f>
        <v>0</v>
      </c>
      <c r="K15" s="152">
        <f>'TUC JV High Level Sales Plan'!BT17</f>
        <v>0</v>
      </c>
      <c r="L15" s="152">
        <f>'TUC JV High Level Sales Plan'!BU17</f>
        <v>0</v>
      </c>
      <c r="M15" s="152">
        <f>'TUC JV High Level Sales Plan'!BV17</f>
        <v>0</v>
      </c>
    </row>
    <row r="16" spans="1:14" outlineLevel="1">
      <c r="B16" s="19" t="s">
        <v>434</v>
      </c>
      <c r="C16" s="19" t="s">
        <v>433</v>
      </c>
      <c r="D16" s="152">
        <f>SUMIFS('TUC JV High Level Sales Plan'!BH:BH,'TUC JV High Level Sales Plan'!$C:$C,$B16,'TUC JV High Level Sales Plan'!$D:$D,$C16)</f>
        <v>3</v>
      </c>
      <c r="E16" s="152">
        <f>'TUC JV High Level Sales Plan'!BN18</f>
        <v>124.8</v>
      </c>
      <c r="F16" s="152">
        <f>'TUC JV High Level Sales Plan'!BO18</f>
        <v>208</v>
      </c>
      <c r="G16" s="152">
        <f>'TUC JV High Level Sales Plan'!BP18</f>
        <v>748.8</v>
      </c>
      <c r="H16" s="152">
        <f>'TUC JV High Level Sales Plan'!BQ18</f>
        <v>823.68</v>
      </c>
      <c r="I16" s="152">
        <f>'TUC JV High Level Sales Plan'!BR18</f>
        <v>906.04800000000023</v>
      </c>
      <c r="J16" s="152">
        <f>'TUC JV High Level Sales Plan'!BS18</f>
        <v>962.22297600000024</v>
      </c>
      <c r="K16" s="152">
        <f>'TUC JV High Level Sales Plan'!BT18</f>
        <v>1021.8808005120002</v>
      </c>
      <c r="L16" s="152">
        <f>'TUC JV High Level Sales Plan'!BU18</f>
        <v>1085.2374101437445</v>
      </c>
      <c r="M16" s="152">
        <f>'TUC JV High Level Sales Plan'!BV18</f>
        <v>1152.5221295726565</v>
      </c>
    </row>
    <row r="17" spans="1:14" outlineLevel="1">
      <c r="B17" s="19" t="s">
        <v>434</v>
      </c>
      <c r="C17" s="19" t="s">
        <v>129</v>
      </c>
      <c r="D17" s="152">
        <f>SUMIFS('TUC JV High Level Sales Plan'!BH:BH,'TUC JV High Level Sales Plan'!$C:$C,$B17,'TUC JV High Level Sales Plan'!$D:$D,$C17)</f>
        <v>3</v>
      </c>
      <c r="E17" s="152">
        <f>'TUC JV High Level Sales Plan'!BN19</f>
        <v>124.8</v>
      </c>
      <c r="F17" s="152">
        <f>'TUC JV High Level Sales Plan'!BO19</f>
        <v>175.5</v>
      </c>
      <c r="G17" s="152">
        <f>'TUC JV High Level Sales Plan'!BP19</f>
        <v>514.79999999999995</v>
      </c>
      <c r="H17" s="152">
        <f>'TUC JV High Level Sales Plan'!BQ19</f>
        <v>669.24</v>
      </c>
      <c r="I17" s="152">
        <f>'TUC JV High Level Sales Plan'!BR19</f>
        <v>849.42000000000019</v>
      </c>
      <c r="J17" s="152">
        <f>'TUC JV High Level Sales Plan'!BS19</f>
        <v>902.08404000000019</v>
      </c>
      <c r="K17" s="152">
        <f>'TUC JV High Level Sales Plan'!BT19</f>
        <v>958.01325048000035</v>
      </c>
      <c r="L17" s="152">
        <f>'TUC JV High Level Sales Plan'!BU19</f>
        <v>1017.4100720097604</v>
      </c>
      <c r="M17" s="152">
        <f>'TUC JV High Level Sales Plan'!BV19</f>
        <v>1080.4894964743655</v>
      </c>
    </row>
    <row r="18" spans="1:14" outlineLevel="1">
      <c r="B18" s="19" t="s">
        <v>434</v>
      </c>
      <c r="C18" s="19" t="s">
        <v>167</v>
      </c>
      <c r="D18" s="152">
        <f>SUMIFS('TUC JV High Level Sales Plan'!BH:BH,'TUC JV High Level Sales Plan'!$C:$C,$B18,'TUC JV High Level Sales Plan'!$D:$D,$C18)</f>
        <v>3</v>
      </c>
      <c r="E18" s="152">
        <f>'TUC JV High Level Sales Plan'!BN20</f>
        <v>0</v>
      </c>
      <c r="F18" s="152">
        <f>'TUC JV High Level Sales Plan'!BO20</f>
        <v>0</v>
      </c>
      <c r="G18" s="152">
        <f>'TUC JV High Level Sales Plan'!BP20</f>
        <v>0</v>
      </c>
      <c r="H18" s="152">
        <f>'TUC JV High Level Sales Plan'!BQ20</f>
        <v>0</v>
      </c>
      <c r="I18" s="152">
        <f>'TUC JV High Level Sales Plan'!BR20</f>
        <v>0</v>
      </c>
      <c r="J18" s="152">
        <f>'TUC JV High Level Sales Plan'!BS20</f>
        <v>0</v>
      </c>
      <c r="K18" s="152">
        <f>'TUC JV High Level Sales Plan'!BT20</f>
        <v>0</v>
      </c>
      <c r="L18" s="152">
        <f>'TUC JV High Level Sales Plan'!BU20</f>
        <v>0</v>
      </c>
      <c r="M18" s="152">
        <f>'TUC JV High Level Sales Plan'!BV20</f>
        <v>0</v>
      </c>
    </row>
    <row r="19" spans="1:14" outlineLevel="1">
      <c r="B19" s="19" t="s">
        <v>434</v>
      </c>
      <c r="C19" s="19" t="s">
        <v>170</v>
      </c>
      <c r="D19" s="152">
        <f>SUMIFS('TUC JV High Level Sales Plan'!BH:BH,'TUC JV High Level Sales Plan'!$C:$C,$B19,'TUC JV High Level Sales Plan'!$D:$D,$C19)</f>
        <v>8</v>
      </c>
      <c r="E19" s="152">
        <f>'TUC JV High Level Sales Plan'!BN21</f>
        <v>0</v>
      </c>
      <c r="F19" s="152">
        <f>'TUC JV High Level Sales Plan'!BO21</f>
        <v>0</v>
      </c>
      <c r="G19" s="152">
        <f>'TUC JV High Level Sales Plan'!BP21</f>
        <v>0</v>
      </c>
      <c r="H19" s="152">
        <f>'TUC JV High Level Sales Plan'!BQ21</f>
        <v>0</v>
      </c>
      <c r="I19" s="152">
        <f>'TUC JV High Level Sales Plan'!BR21</f>
        <v>0</v>
      </c>
      <c r="J19" s="152">
        <f>'TUC JV High Level Sales Plan'!BS21</f>
        <v>0</v>
      </c>
      <c r="K19" s="152">
        <f>'TUC JV High Level Sales Plan'!BT21</f>
        <v>0</v>
      </c>
      <c r="L19" s="152">
        <f>'TUC JV High Level Sales Plan'!BU21</f>
        <v>0</v>
      </c>
      <c r="M19" s="152">
        <f>'TUC JV High Level Sales Plan'!BV21</f>
        <v>0</v>
      </c>
    </row>
    <row r="20" spans="1:14" outlineLevel="1">
      <c r="B20" s="19" t="s">
        <v>184</v>
      </c>
      <c r="C20" s="19" t="s">
        <v>435</v>
      </c>
      <c r="D20" s="152">
        <f>SUMIFS('TUC JV High Level Sales Plan'!BH:BH,'TUC JV High Level Sales Plan'!$C:$C,$B20,'TUC JV High Level Sales Plan'!$D:$D,$C20)</f>
        <v>12</v>
      </c>
      <c r="E20" s="152">
        <f>'TUC JV High Level Sales Plan'!BN22</f>
        <v>0</v>
      </c>
      <c r="F20" s="152">
        <f>'TUC JV High Level Sales Plan'!BO22</f>
        <v>140.4</v>
      </c>
      <c r="G20" s="152">
        <f>'TUC JV High Level Sales Plan'!BP22</f>
        <v>1310.4000000000001</v>
      </c>
      <c r="H20" s="152">
        <f>'TUC JV High Level Sales Plan'!BQ22</f>
        <v>4212</v>
      </c>
      <c r="I20" s="152">
        <f>'TUC JV High Level Sales Plan'!BR22</f>
        <v>10296</v>
      </c>
      <c r="J20" s="152">
        <f>'TUC JV High Level Sales Plan'!BS22</f>
        <v>10934.352000000001</v>
      </c>
      <c r="K20" s="152">
        <f>'TUC JV High Level Sales Plan'!BT22</f>
        <v>11612.281824000002</v>
      </c>
      <c r="L20" s="152">
        <f>'TUC JV High Level Sales Plan'!BU22</f>
        <v>12332.243297088004</v>
      </c>
      <c r="M20" s="152">
        <f>'TUC JV High Level Sales Plan'!BV22</f>
        <v>13096.842381507458</v>
      </c>
    </row>
    <row r="21" spans="1:14" outlineLevel="1">
      <c r="B21" s="19" t="s">
        <v>184</v>
      </c>
      <c r="C21" s="19" t="s">
        <v>436</v>
      </c>
      <c r="D21" s="152">
        <f>SUMIFS('TUC JV High Level Sales Plan'!BH:BH,'TUC JV High Level Sales Plan'!$C:$C,$B21,'TUC JV High Level Sales Plan'!$D:$D,$C21)</f>
        <v>10</v>
      </c>
      <c r="E21" s="152">
        <f>'TUC JV High Level Sales Plan'!BN23</f>
        <v>0</v>
      </c>
      <c r="F21" s="152">
        <f>'TUC JV High Level Sales Plan'!BO23</f>
        <v>124.8</v>
      </c>
      <c r="G21" s="152">
        <f>'TUC JV High Level Sales Plan'!BP23</f>
        <v>1456</v>
      </c>
      <c r="H21" s="152">
        <f>'TUC JV High Level Sales Plan'!BQ23</f>
        <v>4680</v>
      </c>
      <c r="I21" s="152">
        <f>'TUC JV High Level Sales Plan'!BR23</f>
        <v>11440</v>
      </c>
      <c r="J21" s="152">
        <f>'TUC JV High Level Sales Plan'!BS23</f>
        <v>12149.28</v>
      </c>
      <c r="K21" s="152">
        <f>'TUC JV High Level Sales Plan'!BT23</f>
        <v>12902.535360000002</v>
      </c>
      <c r="L21" s="152">
        <f>'TUC JV High Level Sales Plan'!BU23</f>
        <v>13702.492552320004</v>
      </c>
      <c r="M21" s="152">
        <f>'TUC JV High Level Sales Plan'!BV23</f>
        <v>14552.047090563845</v>
      </c>
    </row>
    <row r="22" spans="1:14" outlineLevel="1">
      <c r="B22" s="19" t="s">
        <v>184</v>
      </c>
      <c r="C22" s="19" t="s">
        <v>122</v>
      </c>
      <c r="D22" s="152">
        <f>SUMIFS('TUC JV High Level Sales Plan'!BH:BH,'TUC JV High Level Sales Plan'!$C:$C,$B22,'TUC JV High Level Sales Plan'!$D:$D,$C22)</f>
        <v>12</v>
      </c>
      <c r="E22" s="152">
        <f>'TUC JV High Level Sales Plan'!BN24</f>
        <v>0</v>
      </c>
      <c r="F22" s="152">
        <f>'TUC JV High Level Sales Plan'!BO24</f>
        <v>0</v>
      </c>
      <c r="G22" s="152">
        <f>'TUC JV High Level Sales Plan'!BP24</f>
        <v>0</v>
      </c>
      <c r="H22" s="152">
        <f>'TUC JV High Level Sales Plan'!BQ24</f>
        <v>0</v>
      </c>
      <c r="I22" s="152">
        <f>'TUC JV High Level Sales Plan'!BR24</f>
        <v>0</v>
      </c>
      <c r="J22" s="152">
        <f>'TUC JV High Level Sales Plan'!BS24</f>
        <v>0</v>
      </c>
      <c r="K22" s="152">
        <f>'TUC JV High Level Sales Plan'!BT24</f>
        <v>0</v>
      </c>
      <c r="L22" s="152">
        <f>'TUC JV High Level Sales Plan'!BU24</f>
        <v>0</v>
      </c>
      <c r="M22" s="152">
        <f>'TUC JV High Level Sales Plan'!BV24</f>
        <v>0</v>
      </c>
    </row>
    <row r="23" spans="1:14" outlineLevel="1">
      <c r="B23" s="19" t="s">
        <v>184</v>
      </c>
      <c r="C23" s="19" t="s">
        <v>433</v>
      </c>
      <c r="D23" s="152">
        <f>SUMIFS('TUC JV High Level Sales Plan'!BH:BH,'TUC JV High Level Sales Plan'!$C:$C,$B23,'TUC JV High Level Sales Plan'!$D:$D,$C23)</f>
        <v>3</v>
      </c>
      <c r="E23" s="152">
        <f>'TUC JV High Level Sales Plan'!BN25</f>
        <v>0</v>
      </c>
      <c r="F23" s="152">
        <f>'TUC JV High Level Sales Plan'!BO25</f>
        <v>0</v>
      </c>
      <c r="G23" s="152">
        <f>'TUC JV High Level Sales Plan'!BP25</f>
        <v>655.20000000000005</v>
      </c>
      <c r="H23" s="152">
        <f>'TUC JV High Level Sales Plan'!BQ25</f>
        <v>2106</v>
      </c>
      <c r="I23" s="152">
        <f>'TUC JV High Level Sales Plan'!BR25</f>
        <v>6864</v>
      </c>
      <c r="J23" s="152">
        <f>'TUC JV High Level Sales Plan'!BS25</f>
        <v>7289.5680000000002</v>
      </c>
      <c r="K23" s="152">
        <f>'TUC JV High Level Sales Plan'!BT25</f>
        <v>7741.5212160000001</v>
      </c>
      <c r="L23" s="152">
        <f>'TUC JV High Level Sales Plan'!BU25</f>
        <v>8221.4955313920018</v>
      </c>
      <c r="M23" s="152">
        <f>'TUC JV High Level Sales Plan'!BV25</f>
        <v>8731.2282543383062</v>
      </c>
    </row>
    <row r="24" spans="1:14" outlineLevel="1">
      <c r="B24" s="19" t="s">
        <v>184</v>
      </c>
      <c r="C24" s="19" t="s">
        <v>129</v>
      </c>
      <c r="D24" s="152">
        <f>SUMIFS('TUC JV High Level Sales Plan'!BH:BH,'TUC JV High Level Sales Plan'!$C:$C,$B24,'TUC JV High Level Sales Plan'!$D:$D,$C24)</f>
        <v>3</v>
      </c>
      <c r="E24" s="152">
        <f>'TUC JV High Level Sales Plan'!BN26</f>
        <v>0</v>
      </c>
      <c r="F24" s="152">
        <f>'TUC JV High Level Sales Plan'!BO26</f>
        <v>0</v>
      </c>
      <c r="G24" s="152">
        <f>'TUC JV High Level Sales Plan'!BP26</f>
        <v>655.20000000000005</v>
      </c>
      <c r="H24" s="152">
        <f>'TUC JV High Level Sales Plan'!BQ26</f>
        <v>2106</v>
      </c>
      <c r="I24" s="152">
        <f>'TUC JV High Level Sales Plan'!BR26</f>
        <v>6864</v>
      </c>
      <c r="J24" s="152">
        <f>'TUC JV High Level Sales Plan'!BS26</f>
        <v>7289.5680000000002</v>
      </c>
      <c r="K24" s="152">
        <f>'TUC JV High Level Sales Plan'!BT26</f>
        <v>7741.5212160000001</v>
      </c>
      <c r="L24" s="152">
        <f>'TUC JV High Level Sales Plan'!BU26</f>
        <v>8221.4955313920018</v>
      </c>
      <c r="M24" s="152">
        <f>'TUC JV High Level Sales Plan'!BV26</f>
        <v>8731.2282543383062</v>
      </c>
    </row>
    <row r="25" spans="1:14" outlineLevel="1">
      <c r="B25" s="19" t="s">
        <v>184</v>
      </c>
      <c r="C25" s="19" t="s">
        <v>167</v>
      </c>
      <c r="D25" s="152">
        <f>SUMIFS('TUC JV High Level Sales Plan'!BH:BH,'TUC JV High Level Sales Plan'!$C:$C,$B25,'TUC JV High Level Sales Plan'!$D:$D,$C25)</f>
        <v>6</v>
      </c>
      <c r="E25" s="152">
        <f>'TUC JV High Level Sales Plan'!BN27</f>
        <v>0</v>
      </c>
      <c r="F25" s="152">
        <f>'TUC JV High Level Sales Plan'!BO27</f>
        <v>0</v>
      </c>
      <c r="G25" s="152">
        <f>'TUC JV High Level Sales Plan'!BP27</f>
        <v>0</v>
      </c>
      <c r="H25" s="152">
        <f>'TUC JV High Level Sales Plan'!BQ27</f>
        <v>0</v>
      </c>
      <c r="I25" s="152">
        <f>'TUC JV High Level Sales Plan'!BR27</f>
        <v>0</v>
      </c>
      <c r="J25" s="152">
        <f>'TUC JV High Level Sales Plan'!BS27</f>
        <v>0</v>
      </c>
      <c r="K25" s="152">
        <f>'TUC JV High Level Sales Plan'!BT27</f>
        <v>0</v>
      </c>
      <c r="L25" s="152">
        <f>'TUC JV High Level Sales Plan'!BU27</f>
        <v>0</v>
      </c>
      <c r="M25" s="152">
        <f>'TUC JV High Level Sales Plan'!BV27</f>
        <v>0</v>
      </c>
    </row>
    <row r="26" spans="1:14" outlineLevel="1">
      <c r="B26" s="19" t="s">
        <v>184</v>
      </c>
      <c r="C26" s="19" t="s">
        <v>170</v>
      </c>
      <c r="D26" s="152">
        <f>SUMIFS('TUC JV High Level Sales Plan'!BH:BH,'TUC JV High Level Sales Plan'!$C:$C,$B26,'TUC JV High Level Sales Plan'!$D:$D,$C26)</f>
        <v>10</v>
      </c>
      <c r="E26" s="152">
        <f>'TUC JV High Level Sales Plan'!BN28</f>
        <v>0</v>
      </c>
      <c r="F26" s="152">
        <f>'TUC JV High Level Sales Plan'!BO28</f>
        <v>0</v>
      </c>
      <c r="G26" s="152">
        <f>'TUC JV High Level Sales Plan'!BP28</f>
        <v>0</v>
      </c>
      <c r="H26" s="152">
        <f>'TUC JV High Level Sales Plan'!BQ28</f>
        <v>0</v>
      </c>
      <c r="I26" s="152">
        <f>'TUC JV High Level Sales Plan'!BR28</f>
        <v>0</v>
      </c>
      <c r="J26" s="152">
        <f>'TUC JV High Level Sales Plan'!BS28</f>
        <v>0</v>
      </c>
      <c r="K26" s="152">
        <f>'TUC JV High Level Sales Plan'!BT28</f>
        <v>0</v>
      </c>
      <c r="L26" s="152">
        <f>'TUC JV High Level Sales Plan'!BU28</f>
        <v>0</v>
      </c>
      <c r="M26" s="152">
        <f>'TUC JV High Level Sales Plan'!BV28</f>
        <v>0</v>
      </c>
    </row>
    <row r="27" spans="1:14" ht="3.75" customHeight="1" outlineLevel="1">
      <c r="D27" s="14"/>
      <c r="E27" s="14"/>
      <c r="F27" s="14"/>
      <c r="G27" s="14"/>
      <c r="H27" s="14"/>
      <c r="I27" s="14"/>
      <c r="J27" s="14"/>
      <c r="K27" s="14"/>
      <c r="L27" s="14"/>
      <c r="M27" s="14"/>
    </row>
    <row r="28" spans="1:14">
      <c r="A28" s="15"/>
      <c r="B28" s="16" t="s">
        <v>66</v>
      </c>
      <c r="C28" s="16"/>
      <c r="D28" s="17"/>
      <c r="E28" s="17"/>
      <c r="F28" s="17"/>
      <c r="G28" s="17"/>
      <c r="H28" s="17"/>
      <c r="I28" s="17"/>
      <c r="J28" s="17"/>
      <c r="K28" s="17"/>
      <c r="L28" s="17"/>
      <c r="M28" s="17"/>
      <c r="N28" s="15"/>
    </row>
    <row r="29" spans="1:14" outlineLevel="1">
      <c r="B29" s="19" t="str">
        <f>B6</f>
        <v>Hong Kong</v>
      </c>
      <c r="C29" s="19" t="str">
        <f t="shared" ref="C29:C49" si="1">C6</f>
        <v>Ice Cream Pints</v>
      </c>
      <c r="D29" s="22">
        <f>SUMIFS('TUC JV High Level Sales Plan'!CB:CB,'TUC JV High Level Sales Plan'!$C:$C,$B6,'TUC JV High Level Sales Plan'!$D:$D,$C6)</f>
        <v>3.4831607537591704</v>
      </c>
      <c r="E29" s="22">
        <f>'TUC JV High Level Sales Plan'!CJ8</f>
        <v>564.47460799584917</v>
      </c>
      <c r="F29" s="20">
        <f>'TUC JV High Level Sales Plan'!CK8</f>
        <v>1231.2734740397475</v>
      </c>
      <c r="G29" s="20">
        <f>'TUC JV High Level Sales Plan'!CL8</f>
        <v>2834.9899700161595</v>
      </c>
      <c r="H29" s="20">
        <f>'TUC JV High Level Sales Plan'!CM8</f>
        <v>3260.2384655185833</v>
      </c>
      <c r="I29" s="20">
        <f>'TUC JV High Level Sales Plan'!CN8</f>
        <v>3374.3468118117339</v>
      </c>
      <c r="J29" s="20">
        <f>'TUC JV High Level Sales Plan'!CO8</f>
        <v>3492.448950225144</v>
      </c>
      <c r="K29" s="20">
        <f>'TUC JV High Level Sales Plan'!CP8</f>
        <v>3614.684663483024</v>
      </c>
      <c r="L29" s="20">
        <f>'TUC JV High Level Sales Plan'!CQ8</f>
        <v>3741.1986267049297</v>
      </c>
      <c r="M29" s="20">
        <f>'TUC JV High Level Sales Plan'!CR8</f>
        <v>3872.1405786396017</v>
      </c>
    </row>
    <row r="30" spans="1:14" outlineLevel="1">
      <c r="B30" s="19" t="str">
        <f t="shared" ref="B30" si="2">B7</f>
        <v>Hong Kong</v>
      </c>
      <c r="C30" s="19" t="str">
        <f t="shared" si="1"/>
        <v>Ice Cream Novelties</v>
      </c>
      <c r="D30" s="22">
        <f>SUMIFS('TUC JV High Level Sales Plan'!CB:CB,'TUC JV High Level Sales Plan'!$C:$C,$B7,'TUC JV High Level Sales Plan'!$D:$D,$C7)</f>
        <v>1.1083541851334127</v>
      </c>
      <c r="E30" s="22">
        <f>'TUC JV High Level Sales Plan'!CJ9</f>
        <v>471.80518417777427</v>
      </c>
      <c r="F30" s="20">
        <f>'TUC JV High Level Sales Plan'!CK9</f>
        <v>871.59799813894085</v>
      </c>
      <c r="G30" s="20">
        <f>'TUC JV High Level Sales Plan'!CL9</f>
        <v>1653.8572014686404</v>
      </c>
      <c r="H30" s="20">
        <f>'TUC JV High Level Sales Plan'!CM9</f>
        <v>2247.742287450561</v>
      </c>
      <c r="I30" s="20">
        <f>'TUC JV High Level Sales Plan'!CN9</f>
        <v>2326.4132675113301</v>
      </c>
      <c r="J30" s="20">
        <f>'TUC JV High Level Sales Plan'!CO9</f>
        <v>2407.8377318742264</v>
      </c>
      <c r="K30" s="20">
        <f>'TUC JV High Level Sales Plan'!CP9</f>
        <v>2492.1120524898242</v>
      </c>
      <c r="L30" s="20">
        <f>'TUC JV High Level Sales Plan'!CQ9</f>
        <v>2579.335974326968</v>
      </c>
      <c r="M30" s="20">
        <f>'TUC JV High Level Sales Plan'!CR9</f>
        <v>2669.6127334284115</v>
      </c>
    </row>
    <row r="31" spans="1:14" outlineLevel="1">
      <c r="B31" s="19" t="str">
        <f t="shared" ref="B31" si="3">B8</f>
        <v>Hong Kong</v>
      </c>
      <c r="C31" s="19" t="str">
        <f t="shared" si="1"/>
        <v>Cake Mix</v>
      </c>
      <c r="D31" s="22">
        <f>SUMIFS('TUC JV High Level Sales Plan'!CB:CB,'TUC JV High Level Sales Plan'!$C:$C,$B8,'TUC JV High Level Sales Plan'!$D:$D,$C8)</f>
        <v>0</v>
      </c>
      <c r="E31" s="22">
        <f>'TUC JV High Level Sales Plan'!CJ10</f>
        <v>0</v>
      </c>
      <c r="F31" s="20">
        <f>'TUC JV High Level Sales Plan'!CK10</f>
        <v>0</v>
      </c>
      <c r="G31" s="20">
        <f>'TUC JV High Level Sales Plan'!CL10</f>
        <v>0</v>
      </c>
      <c r="H31" s="20">
        <f>'TUC JV High Level Sales Plan'!CM10</f>
        <v>0</v>
      </c>
      <c r="I31" s="20">
        <f>'TUC JV High Level Sales Plan'!CN10</f>
        <v>0</v>
      </c>
      <c r="J31" s="20">
        <f>'TUC JV High Level Sales Plan'!CO10</f>
        <v>0</v>
      </c>
      <c r="K31" s="20">
        <f>'TUC JV High Level Sales Plan'!CP10</f>
        <v>0</v>
      </c>
      <c r="L31" s="20">
        <f>'TUC JV High Level Sales Plan'!CQ10</f>
        <v>0</v>
      </c>
      <c r="M31" s="20">
        <f>'TUC JV High Level Sales Plan'!CR10</f>
        <v>0</v>
      </c>
    </row>
    <row r="32" spans="1:14" outlineLevel="1">
      <c r="B32" s="19" t="str">
        <f t="shared" ref="B32" si="4">B9</f>
        <v>Hong Kong</v>
      </c>
      <c r="C32" s="19" t="str">
        <f t="shared" si="1"/>
        <v>Milk Barista</v>
      </c>
      <c r="D32" s="22">
        <f>SUMIFS('TUC JV High Level Sales Plan'!CB:CB,'TUC JV High Level Sales Plan'!$C:$C,$B9,'TUC JV High Level Sales Plan'!$D:$D,$C9)</f>
        <v>1.7460967499999995</v>
      </c>
      <c r="E32" s="22">
        <f>'TUC JV High Level Sales Plan'!CJ11</f>
        <v>0</v>
      </c>
      <c r="F32" s="20">
        <f>'TUC JV High Level Sales Plan'!CK11</f>
        <v>508.55999999999995</v>
      </c>
      <c r="G32" s="20">
        <f>'TUC JV High Level Sales Plan'!CL11</f>
        <v>947.44727999999986</v>
      </c>
      <c r="H32" s="20">
        <f>'TUC JV High Level Sales Plan'!CM11</f>
        <v>1089.5643719999998</v>
      </c>
      <c r="I32" s="20">
        <f>'TUC JV High Level Sales Plan'!CN11</f>
        <v>1127.6991250199994</v>
      </c>
      <c r="J32" s="20">
        <f>'TUC JV High Level Sales Plan'!CO11</f>
        <v>1167.1685943956995</v>
      </c>
      <c r="K32" s="20">
        <f>'TUC JV High Level Sales Plan'!CP11</f>
        <v>1208.0194951995488</v>
      </c>
      <c r="L32" s="20">
        <f>'TUC JV High Level Sales Plan'!CQ11</f>
        <v>1250.3001775315329</v>
      </c>
      <c r="M32" s="20">
        <f>'TUC JV High Level Sales Plan'!CR11</f>
        <v>1294.0606837451364</v>
      </c>
    </row>
    <row r="33" spans="2:13" outlineLevel="1">
      <c r="B33" s="19" t="str">
        <f t="shared" ref="B33" si="5">B10</f>
        <v>Hong Kong</v>
      </c>
      <c r="C33" s="19" t="str">
        <f t="shared" si="1"/>
        <v>Milk</v>
      </c>
      <c r="D33" s="22">
        <f>SUMIFS('TUC JV High Level Sales Plan'!CB:CB,'TUC JV High Level Sales Plan'!$C:$C,$B10,'TUC JV High Level Sales Plan'!$D:$D,$C10)</f>
        <v>0.91656484069233923</v>
      </c>
      <c r="E33" s="22">
        <f>'TUC JV High Level Sales Plan'!CJ12</f>
        <v>25.668692590977791</v>
      </c>
      <c r="F33" s="20">
        <f>'TUC JV High Level Sales Plan'!CK12</f>
        <v>120.12948132577606</v>
      </c>
      <c r="G33" s="20">
        <f>'TUC JV High Level Sales Plan'!CL12</f>
        <v>227.94569081566004</v>
      </c>
      <c r="H33" s="20">
        <f>'TUC JV High Level Sales Plan'!CM12</f>
        <v>309.79891615401067</v>
      </c>
      <c r="I33" s="20">
        <f>'TUC JV High Level Sales Plan'!CN12</f>
        <v>369.97139794546274</v>
      </c>
      <c r="J33" s="20">
        <f>'TUC JV High Level Sales Plan'!CO12</f>
        <v>382.9203968735539</v>
      </c>
      <c r="K33" s="20">
        <f>'TUC JV High Level Sales Plan'!CP12</f>
        <v>396.32261076412823</v>
      </c>
      <c r="L33" s="20">
        <f>'TUC JV High Level Sales Plan'!CQ12</f>
        <v>410.19390214087269</v>
      </c>
      <c r="M33" s="20">
        <f>'TUC JV High Level Sales Plan'!CR12</f>
        <v>424.55068871580323</v>
      </c>
    </row>
    <row r="34" spans="2:13" outlineLevel="1">
      <c r="B34" s="19" t="str">
        <f t="shared" ref="B34" si="6">B11</f>
        <v>Hong Kong</v>
      </c>
      <c r="C34" s="19" t="str">
        <f t="shared" si="1"/>
        <v>Yogurt</v>
      </c>
      <c r="D34" s="22">
        <f>SUMIFS('TUC JV High Level Sales Plan'!CB:CB,'TUC JV High Level Sales Plan'!$C:$C,$B11,'TUC JV High Level Sales Plan'!$D:$D,$C11)</f>
        <v>0</v>
      </c>
      <c r="E34" s="22">
        <f>'TUC JV High Level Sales Plan'!CJ13</f>
        <v>0</v>
      </c>
      <c r="F34" s="20">
        <f>'TUC JV High Level Sales Plan'!CK13</f>
        <v>0</v>
      </c>
      <c r="G34" s="20">
        <f>'TUC JV High Level Sales Plan'!CL13</f>
        <v>0</v>
      </c>
      <c r="H34" s="20">
        <f>'TUC JV High Level Sales Plan'!CM13</f>
        <v>0</v>
      </c>
      <c r="I34" s="20">
        <f>'TUC JV High Level Sales Plan'!CN13</f>
        <v>0</v>
      </c>
      <c r="J34" s="20">
        <f>'TUC JV High Level Sales Plan'!CO13</f>
        <v>0</v>
      </c>
      <c r="K34" s="20">
        <f>'TUC JV High Level Sales Plan'!CP13</f>
        <v>0</v>
      </c>
      <c r="L34" s="20">
        <f>'TUC JV High Level Sales Plan'!CQ13</f>
        <v>0</v>
      </c>
      <c r="M34" s="20">
        <f>'TUC JV High Level Sales Plan'!CR13</f>
        <v>0</v>
      </c>
    </row>
    <row r="35" spans="2:13" outlineLevel="1">
      <c r="B35" s="19" t="str">
        <f t="shared" ref="B35" si="7">B12</f>
        <v>Hong Kong</v>
      </c>
      <c r="C35" s="19" t="str">
        <f t="shared" si="1"/>
        <v>Sports Nutrition</v>
      </c>
      <c r="D35" s="22">
        <f>SUMIFS('TUC JV High Level Sales Plan'!CB:CB,'TUC JV High Level Sales Plan'!$C:$C,$B12,'TUC JV High Level Sales Plan'!$D:$D,$C12)</f>
        <v>0</v>
      </c>
      <c r="E35" s="22">
        <f>'TUC JV High Level Sales Plan'!CJ14</f>
        <v>0</v>
      </c>
      <c r="F35" s="20">
        <f>'TUC JV High Level Sales Plan'!CK14</f>
        <v>0</v>
      </c>
      <c r="G35" s="20">
        <f>'TUC JV High Level Sales Plan'!CL14</f>
        <v>0</v>
      </c>
      <c r="H35" s="20">
        <f>'TUC JV High Level Sales Plan'!CM14</f>
        <v>0</v>
      </c>
      <c r="I35" s="20">
        <f>'TUC JV High Level Sales Plan'!CN14</f>
        <v>0</v>
      </c>
      <c r="J35" s="20">
        <f>'TUC JV High Level Sales Plan'!CO14</f>
        <v>0</v>
      </c>
      <c r="K35" s="20">
        <f>'TUC JV High Level Sales Plan'!CP14</f>
        <v>0</v>
      </c>
      <c r="L35" s="20">
        <f>'TUC JV High Level Sales Plan'!CQ14</f>
        <v>0</v>
      </c>
      <c r="M35" s="20">
        <f>'TUC JV High Level Sales Plan'!CR14</f>
        <v>0</v>
      </c>
    </row>
    <row r="36" spans="2:13" outlineLevel="1">
      <c r="B36" s="19" t="str">
        <f t="shared" ref="B36" si="8">B13</f>
        <v>Singapore</v>
      </c>
      <c r="C36" s="19" t="str">
        <f t="shared" si="1"/>
        <v>Ice Cream Pints</v>
      </c>
      <c r="D36" s="22">
        <f>SUMIFS('TUC JV High Level Sales Plan'!CB:CB,'TUC JV High Level Sales Plan'!$C:$C,$B13,'TUC JV High Level Sales Plan'!$D:$D,$C13)</f>
        <v>2.2640109586992763</v>
      </c>
      <c r="E36" s="22">
        <f>'TUC JV High Level Sales Plan'!CJ15</f>
        <v>301.24539333814533</v>
      </c>
      <c r="F36" s="20">
        <f>'TUC JV High Level Sales Plan'!CK15</f>
        <v>466.84888257531725</v>
      </c>
      <c r="G36" s="20">
        <f>'TUC JV High Level Sales Plan'!CL15</f>
        <v>1023.7266943683685</v>
      </c>
      <c r="H36" s="20">
        <f>'TUC JV High Level Sales Plan'!CM15</f>
        <v>1165.5128415383874</v>
      </c>
      <c r="I36" s="20">
        <f>'TUC JV High Level Sales Plan'!CN15</f>
        <v>1326.9363700914539</v>
      </c>
      <c r="J36" s="20">
        <f>'TUC JV High Level Sales Plan'!CO15</f>
        <v>1373.3791430446545</v>
      </c>
      <c r="K36" s="20">
        <f>'TUC JV High Level Sales Plan'!CP15</f>
        <v>1421.4474130512174</v>
      </c>
      <c r="L36" s="20">
        <f>'TUC JV High Level Sales Plan'!CQ15</f>
        <v>1471.19807250801</v>
      </c>
      <c r="M36" s="20">
        <f>'TUC JV High Level Sales Plan'!CR15</f>
        <v>1522.6900050457903</v>
      </c>
    </row>
    <row r="37" spans="2:13" outlineLevel="1">
      <c r="B37" s="19" t="str">
        <f t="shared" ref="B37" si="9">B14</f>
        <v>Singapore</v>
      </c>
      <c r="C37" s="19" t="str">
        <f t="shared" si="1"/>
        <v>Ice Cream Novelties</v>
      </c>
      <c r="D37" s="22">
        <f>SUMIFS('TUC JV High Level Sales Plan'!CB:CB,'TUC JV High Level Sales Plan'!$C:$C,$B14,'TUC JV High Level Sales Plan'!$D:$D,$C14)</f>
        <v>0.94278887096871</v>
      </c>
      <c r="E37" s="22">
        <f>'TUC JV High Level Sales Plan'!CJ16</f>
        <v>329.51075011382767</v>
      </c>
      <c r="F37" s="20">
        <f>'TUC JV High Level Sales Plan'!CK16</f>
        <v>432.4828595243988</v>
      </c>
      <c r="G37" s="20">
        <f>'TUC JV High Level Sales Plan'!CL16</f>
        <v>781.55831042623504</v>
      </c>
      <c r="H37" s="20">
        <f>'TUC JV High Level Sales Plan'!CM16</f>
        <v>1051.5867066784992</v>
      </c>
      <c r="I37" s="20">
        <f>'TUC JV High Level Sales Plan'!CN16</f>
        <v>1197.2314655534713</v>
      </c>
      <c r="J37" s="20">
        <f>'TUC JV High Level Sales Plan'!CO16</f>
        <v>1239.1345668478427</v>
      </c>
      <c r="K37" s="20">
        <f>'TUC JV High Level Sales Plan'!CP16</f>
        <v>1282.5042766875172</v>
      </c>
      <c r="L37" s="20">
        <f>'TUC JV High Level Sales Plan'!CQ16</f>
        <v>1327.3919263715802</v>
      </c>
      <c r="M37" s="20">
        <f>'TUC JV High Level Sales Plan'!CR16</f>
        <v>1373.8506437945855</v>
      </c>
    </row>
    <row r="38" spans="2:13" outlineLevel="1">
      <c r="B38" s="19" t="str">
        <f t="shared" ref="B38" si="10">B15</f>
        <v>Singapore</v>
      </c>
      <c r="C38" s="19" t="str">
        <f t="shared" si="1"/>
        <v>Cake Mix</v>
      </c>
      <c r="D38" s="22">
        <f>SUMIFS('TUC JV High Level Sales Plan'!CB:CB,'TUC JV High Level Sales Plan'!$C:$C,$B15,'TUC JV High Level Sales Plan'!$D:$D,$C15)</f>
        <v>0</v>
      </c>
      <c r="E38" s="22">
        <f>'TUC JV High Level Sales Plan'!CJ17</f>
        <v>0</v>
      </c>
      <c r="F38" s="20">
        <f>'TUC JV High Level Sales Plan'!CK17</f>
        <v>0</v>
      </c>
      <c r="G38" s="20">
        <f>'TUC JV High Level Sales Plan'!CL17</f>
        <v>0</v>
      </c>
      <c r="H38" s="20">
        <f>'TUC JV High Level Sales Plan'!CM17</f>
        <v>0</v>
      </c>
      <c r="I38" s="20">
        <f>'TUC JV High Level Sales Plan'!CN17</f>
        <v>0</v>
      </c>
      <c r="J38" s="20">
        <f>'TUC JV High Level Sales Plan'!CO17</f>
        <v>0</v>
      </c>
      <c r="K38" s="20">
        <f>'TUC JV High Level Sales Plan'!CP17</f>
        <v>0</v>
      </c>
      <c r="L38" s="20">
        <f>'TUC JV High Level Sales Plan'!CQ17</f>
        <v>0</v>
      </c>
      <c r="M38" s="20">
        <f>'TUC JV High Level Sales Plan'!CR17</f>
        <v>0</v>
      </c>
    </row>
    <row r="39" spans="2:13" outlineLevel="1">
      <c r="B39" s="19" t="str">
        <f t="shared" ref="B39" si="11">B16</f>
        <v>Singapore</v>
      </c>
      <c r="C39" s="19" t="str">
        <f t="shared" si="1"/>
        <v>Milk Barista</v>
      </c>
      <c r="D39" s="22">
        <f>SUMIFS('TUC JV High Level Sales Plan'!CB:CB,'TUC JV High Level Sales Plan'!$C:$C,$B16,'TUC JV High Level Sales Plan'!$D:$D,$C16)</f>
        <v>1.7460967499999995</v>
      </c>
      <c r="E39" s="22">
        <f>'TUC JV High Level Sales Plan'!CJ18</f>
        <v>203.42399999999998</v>
      </c>
      <c r="F39" s="20">
        <f>'TUC JV High Level Sales Plan'!CK18</f>
        <v>339.03999999999996</v>
      </c>
      <c r="G39" s="20">
        <f>'TUC JV High Level Sales Plan'!CL18</f>
        <v>1263.2630399999998</v>
      </c>
      <c r="H39" s="20">
        <f>'TUC JV High Level Sales Plan'!CM18</f>
        <v>1438.2249710399994</v>
      </c>
      <c r="I39" s="20">
        <f>'TUC JV High Level Sales Plan'!CN18</f>
        <v>1637.4191295290398</v>
      </c>
      <c r="J39" s="20">
        <f>'TUC JV High Level Sales Plan'!CO18</f>
        <v>1799.8019846044344</v>
      </c>
      <c r="K39" s="20">
        <f>'TUC JV High Level Sales Plan'!CP18</f>
        <v>1978.288347417656</v>
      </c>
      <c r="L39" s="20">
        <f>'TUC JV High Level Sales Plan'!CQ18</f>
        <v>2174.4752028310654</v>
      </c>
      <c r="M39" s="20">
        <f>'TUC JV High Level Sales Plan'!CR18</f>
        <v>2390.1179086958214</v>
      </c>
    </row>
    <row r="40" spans="2:13" outlineLevel="1">
      <c r="B40" s="19" t="str">
        <f t="shared" ref="B40" si="12">B17</f>
        <v>Singapore</v>
      </c>
      <c r="C40" s="19" t="str">
        <f t="shared" si="1"/>
        <v>Milk</v>
      </c>
      <c r="D40" s="22">
        <f>SUMIFS('TUC JV High Level Sales Plan'!CB:CB,'TUC JV High Level Sales Plan'!$C:$C,$B17,'TUC JV High Level Sales Plan'!$D:$D,$C17)</f>
        <v>0.89158341537419961</v>
      </c>
      <c r="E40" s="22">
        <f>'TUC JV High Level Sales Plan'!CJ19</f>
        <v>103.87137178342564</v>
      </c>
      <c r="F40" s="20">
        <f>'TUC JV High Level Sales Plan'!CK19</f>
        <v>146.0691165704423</v>
      </c>
      <c r="G40" s="20">
        <f>'TUC JV High Level Sales Plan'!CL19</f>
        <v>443.46583790786275</v>
      </c>
      <c r="H40" s="20">
        <f>'TUC JV High Level Sales Plan'!CM19</f>
        <v>596.68328490502938</v>
      </c>
      <c r="I40" s="20">
        <f>'TUC JV High Level Sales Plan'!CN19</f>
        <v>783.83529215120313</v>
      </c>
      <c r="J40" s="20">
        <f>'TUC JV High Level Sales Plan'!CO19</f>
        <v>861.56823807383785</v>
      </c>
      <c r="K40" s="20">
        <f>'TUC JV High Level Sales Plan'!CP19</f>
        <v>947.0099602436203</v>
      </c>
      <c r="L40" s="20">
        <f>'TUC JV High Level Sales Plan'!CQ19</f>
        <v>1040.9249380009801</v>
      </c>
      <c r="M40" s="20">
        <f>'TUC JV High Level Sales Plan'!CR19</f>
        <v>1144.1534641025371</v>
      </c>
    </row>
    <row r="41" spans="2:13" outlineLevel="1">
      <c r="B41" s="19" t="str">
        <f t="shared" ref="B41" si="13">B18</f>
        <v>Singapore</v>
      </c>
      <c r="C41" s="19" t="str">
        <f t="shared" si="1"/>
        <v>Yogurt</v>
      </c>
      <c r="D41" s="22">
        <f>SUMIFS('TUC JV High Level Sales Plan'!CB:CB,'TUC JV High Level Sales Plan'!$C:$C,$B18,'TUC JV High Level Sales Plan'!$D:$D,$C18)</f>
        <v>0</v>
      </c>
      <c r="E41" s="22">
        <f>'TUC JV High Level Sales Plan'!CJ20</f>
        <v>0</v>
      </c>
      <c r="F41" s="20">
        <f>'TUC JV High Level Sales Plan'!CK20</f>
        <v>0</v>
      </c>
      <c r="G41" s="20">
        <f>'TUC JV High Level Sales Plan'!CL20</f>
        <v>0</v>
      </c>
      <c r="H41" s="20">
        <f>'TUC JV High Level Sales Plan'!CM20</f>
        <v>0</v>
      </c>
      <c r="I41" s="20">
        <f>'TUC JV High Level Sales Plan'!CN20</f>
        <v>0</v>
      </c>
      <c r="J41" s="20">
        <f>'TUC JV High Level Sales Plan'!CO20</f>
        <v>0</v>
      </c>
      <c r="K41" s="20">
        <f>'TUC JV High Level Sales Plan'!CP20</f>
        <v>0</v>
      </c>
      <c r="L41" s="20">
        <f>'TUC JV High Level Sales Plan'!CQ20</f>
        <v>0</v>
      </c>
      <c r="M41" s="20">
        <f>'TUC JV High Level Sales Plan'!CR20</f>
        <v>0</v>
      </c>
    </row>
    <row r="42" spans="2:13" outlineLevel="1">
      <c r="B42" s="19" t="str">
        <f t="shared" ref="B42" si="14">B19</f>
        <v>Singapore</v>
      </c>
      <c r="C42" s="19" t="str">
        <f t="shared" si="1"/>
        <v>Sports Nutrition</v>
      </c>
      <c r="D42" s="22">
        <f>SUMIFS('TUC JV High Level Sales Plan'!CB:CB,'TUC JV High Level Sales Plan'!$C:$C,$B19,'TUC JV High Level Sales Plan'!$D:$D,$C19)</f>
        <v>0</v>
      </c>
      <c r="E42" s="22">
        <f>'TUC JV High Level Sales Plan'!CJ21</f>
        <v>0</v>
      </c>
      <c r="F42" s="20">
        <f>'TUC JV High Level Sales Plan'!CK21</f>
        <v>0</v>
      </c>
      <c r="G42" s="20">
        <f>'TUC JV High Level Sales Plan'!CL21</f>
        <v>0</v>
      </c>
      <c r="H42" s="20">
        <f>'TUC JV High Level Sales Plan'!CM21</f>
        <v>0</v>
      </c>
      <c r="I42" s="20">
        <f>'TUC JV High Level Sales Plan'!CN21</f>
        <v>0</v>
      </c>
      <c r="J42" s="20">
        <f>'TUC JV High Level Sales Plan'!CO21</f>
        <v>0</v>
      </c>
      <c r="K42" s="20">
        <f>'TUC JV High Level Sales Plan'!CP21</f>
        <v>0</v>
      </c>
      <c r="L42" s="20">
        <f>'TUC JV High Level Sales Plan'!CQ21</f>
        <v>0</v>
      </c>
      <c r="M42" s="20">
        <f>'TUC JV High Level Sales Plan'!CR21</f>
        <v>0</v>
      </c>
    </row>
    <row r="43" spans="2:13" outlineLevel="1">
      <c r="B43" s="19" t="str">
        <f t="shared" ref="B43" si="15">B20</f>
        <v>Other</v>
      </c>
      <c r="C43" s="19" t="str">
        <f t="shared" si="1"/>
        <v>Ice Cream Pints</v>
      </c>
      <c r="D43" s="22">
        <f>SUMIFS('TUC JV High Level Sales Plan'!CB:CB,'TUC JV High Level Sales Plan'!$C:$C,$B20,'TUC JV High Level Sales Plan'!$D:$D,$C20)</f>
        <v>2.2640109586992763</v>
      </c>
      <c r="E43" s="22">
        <f>'TUC JV High Level Sales Plan'!CJ22</f>
        <v>0</v>
      </c>
      <c r="F43" s="20">
        <f>'TUC JV High Level Sales Plan'!CK22</f>
        <v>296.73237517923729</v>
      </c>
      <c r="G43" s="20">
        <f>'TUC JV High Level Sales Plan'!CL22</f>
        <v>2866.434744231432</v>
      </c>
      <c r="H43" s="20">
        <f>'TUC JV High Level Sales Plan'!CM22</f>
        <v>9536.014158041351</v>
      </c>
      <c r="I43" s="20">
        <f>'TUC JV High Level Sales Plan'!CN22</f>
        <v>24126.115819844617</v>
      </c>
      <c r="J43" s="20">
        <f>'TUC JV High Level Sales Plan'!CO22</f>
        <v>26518.702725698608</v>
      </c>
      <c r="K43" s="20">
        <f>'TUC JV High Level Sales Plan'!CP22</f>
        <v>29148.562475006136</v>
      </c>
      <c r="L43" s="20">
        <f>'TUC JV High Level Sales Plan'!CQ22</f>
        <v>32039.225415652498</v>
      </c>
      <c r="M43" s="20">
        <f>'TUC JV High Level Sales Plan'!CR22</f>
        <v>35216.55540012275</v>
      </c>
    </row>
    <row r="44" spans="2:13" outlineLevel="1">
      <c r="B44" s="19" t="str">
        <f t="shared" ref="B44" si="16">B21</f>
        <v>Other</v>
      </c>
      <c r="C44" s="19" t="str">
        <f t="shared" si="1"/>
        <v>Ice Cream Novelties</v>
      </c>
      <c r="D44" s="22">
        <f>SUMIFS('TUC JV High Level Sales Plan'!CB:CB,'TUC JV High Level Sales Plan'!$C:$C,$B21,'TUC JV High Level Sales Plan'!$D:$D,$C21)</f>
        <v>0.94278887096871</v>
      </c>
      <c r="E44" s="22">
        <f>'TUC JV High Level Sales Plan'!CJ23</f>
        <v>0</v>
      </c>
      <c r="F44" s="20">
        <f>'TUC JV High Level Sales Plan'!CK23</f>
        <v>109.83691670460922</v>
      </c>
      <c r="G44" s="20">
        <f>'TUC JV High Level Sales Plan'!CL23</f>
        <v>1326.2807692081565</v>
      </c>
      <c r="H44" s="20">
        <f>'TUC JV High Level Sales Plan'!CM23</f>
        <v>4412.2519161335631</v>
      </c>
      <c r="I44" s="20">
        <f>'TUC JV High Level Sales Plan'!CN23</f>
        <v>11162.997347817913</v>
      </c>
      <c r="J44" s="20">
        <f>'TUC JV High Level Sales Plan'!CO23</f>
        <v>12270.031794801016</v>
      </c>
      <c r="K44" s="20">
        <f>'TUC JV High Level Sales Plan'!CP23</f>
        <v>13486.850847891434</v>
      </c>
      <c r="L44" s="20">
        <f>'TUC JV High Level Sales Plan'!CQ23</f>
        <v>14824.341846476827</v>
      </c>
      <c r="M44" s="20">
        <f>'TUC JV High Level Sales Plan'!CR23</f>
        <v>16294.471827391935</v>
      </c>
    </row>
    <row r="45" spans="2:13" outlineLevel="1">
      <c r="B45" s="19" t="str">
        <f t="shared" ref="B45" si="17">B22</f>
        <v>Other</v>
      </c>
      <c r="C45" s="19" t="str">
        <f t="shared" si="1"/>
        <v>Cake Mix</v>
      </c>
      <c r="D45" s="22">
        <f>SUMIFS('TUC JV High Level Sales Plan'!CB:CB,'TUC JV High Level Sales Plan'!$C:$C,$B22,'TUC JV High Level Sales Plan'!$D:$D,$C22)</f>
        <v>0</v>
      </c>
      <c r="E45" s="22">
        <f>'TUC JV High Level Sales Plan'!CJ24</f>
        <v>0</v>
      </c>
      <c r="F45" s="20">
        <f>'TUC JV High Level Sales Plan'!CK24</f>
        <v>0</v>
      </c>
      <c r="G45" s="20">
        <f>'TUC JV High Level Sales Plan'!CL24</f>
        <v>0</v>
      </c>
      <c r="H45" s="20">
        <f>'TUC JV High Level Sales Plan'!CM24</f>
        <v>0</v>
      </c>
      <c r="I45" s="20">
        <f>'TUC JV High Level Sales Plan'!CN24</f>
        <v>0</v>
      </c>
      <c r="J45" s="20">
        <f>'TUC JV High Level Sales Plan'!CO24</f>
        <v>0</v>
      </c>
      <c r="K45" s="20">
        <f>'TUC JV High Level Sales Plan'!CP24</f>
        <v>0</v>
      </c>
      <c r="L45" s="20">
        <f>'TUC JV High Level Sales Plan'!CQ24</f>
        <v>0</v>
      </c>
      <c r="M45" s="20">
        <f>'TUC JV High Level Sales Plan'!CR24</f>
        <v>0</v>
      </c>
    </row>
    <row r="46" spans="2:13" outlineLevel="1">
      <c r="B46" s="19" t="str">
        <f t="shared" ref="B46" si="18">B23</f>
        <v>Other</v>
      </c>
      <c r="C46" s="19" t="str">
        <f t="shared" si="1"/>
        <v>Milk Barista</v>
      </c>
      <c r="D46" s="20">
        <f>SUMIFS('TUC JV High Level Sales Plan'!CB:CB,'TUC JV High Level Sales Plan'!$C:$C,$B23,'TUC JV High Level Sales Plan'!$D:$D,$C23)</f>
        <v>1.7460967499999995</v>
      </c>
      <c r="E46" s="20">
        <f>'TUC JV High Level Sales Plan'!CJ25</f>
        <v>0</v>
      </c>
      <c r="F46" s="20">
        <f>'TUC JV High Level Sales Plan'!CK25</f>
        <v>0</v>
      </c>
      <c r="G46" s="20">
        <f>'TUC JV High Level Sales Plan'!CL25</f>
        <v>1105.3551599999998</v>
      </c>
      <c r="H46" s="20">
        <f>'TUC JV High Level Sales Plan'!CM25</f>
        <v>3677.2797554999988</v>
      </c>
      <c r="I46" s="20">
        <f>'TUC JV High Level Sales Plan'!CN25</f>
        <v>12404.690375219994</v>
      </c>
      <c r="J46" s="20">
        <f>'TUC JV High Level Sales Plan'!CO25</f>
        <v>13634.863519730561</v>
      </c>
      <c r="K46" s="20">
        <f>'TUC JV High Level Sales Plan'!CP25</f>
        <v>14987.03293498224</v>
      </c>
      <c r="L46" s="20">
        <f>'TUC JV High Level Sales Plan'!CQ25</f>
        <v>16473.296991144431</v>
      </c>
      <c r="M46" s="20">
        <f>'TUC JV High Level Sales Plan'!CR25</f>
        <v>18106.953853756222</v>
      </c>
    </row>
    <row r="47" spans="2:13" outlineLevel="1">
      <c r="B47" s="172" t="str">
        <f t="shared" ref="B47" si="19">B24</f>
        <v>Other</v>
      </c>
      <c r="C47" s="172" t="str">
        <f t="shared" si="1"/>
        <v>Milk</v>
      </c>
      <c r="D47" s="20">
        <f>SUMIFS('TUC JV High Level Sales Plan'!CB:CB,'TUC JV High Level Sales Plan'!$C:$C,$B24,'TUC JV High Level Sales Plan'!$D:$D,$C24)</f>
        <v>0.89158341537419961</v>
      </c>
      <c r="E47" s="20">
        <f>'TUC JV High Level Sales Plan'!CJ26</f>
        <v>0</v>
      </c>
      <c r="F47" s="20">
        <f>'TUC JV High Level Sales Plan'!CK26</f>
        <v>0</v>
      </c>
      <c r="G47" s="20">
        <f>'TUC JV High Level Sales Plan'!CL26</f>
        <v>564.41106642818909</v>
      </c>
      <c r="H47" s="20">
        <f>'TUC JV High Level Sales Plan'!CM26</f>
        <v>1877.6746727780644</v>
      </c>
      <c r="I47" s="20">
        <f>'TUC JV High Level Sales Plan'!CN26</f>
        <v>6334.022562838004</v>
      </c>
      <c r="J47" s="20">
        <f>'TUC JV High Level Sales Plan'!CO26</f>
        <v>6962.1675803946482</v>
      </c>
      <c r="K47" s="20">
        <f>'TUC JV High Level Sales Plan'!CP26</f>
        <v>7652.6057393423844</v>
      </c>
      <c r="L47" s="20">
        <f>'TUC JV High Level Sales Plan'!CQ26</f>
        <v>8411.5146505129687</v>
      </c>
      <c r="M47" s="20">
        <f>'TUC JV High Level Sales Plan'!CR26</f>
        <v>9245.6845584043404</v>
      </c>
    </row>
    <row r="48" spans="2:13" outlineLevel="1">
      <c r="B48" s="172" t="str">
        <f t="shared" ref="B48" si="20">B25</f>
        <v>Other</v>
      </c>
      <c r="C48" s="172" t="str">
        <f t="shared" si="1"/>
        <v>Yogurt</v>
      </c>
      <c r="D48" s="20">
        <f>SUMIFS('TUC JV High Level Sales Plan'!CB:CB,'TUC JV High Level Sales Plan'!$C:$C,$B25,'TUC JV High Level Sales Plan'!$D:$D,$C25)</f>
        <v>0</v>
      </c>
      <c r="E48" s="20">
        <f>'TUC JV High Level Sales Plan'!CJ27</f>
        <v>0</v>
      </c>
      <c r="F48" s="20">
        <f>'TUC JV High Level Sales Plan'!CK27</f>
        <v>0</v>
      </c>
      <c r="G48" s="20">
        <f>'TUC JV High Level Sales Plan'!CL27</f>
        <v>0</v>
      </c>
      <c r="H48" s="20">
        <f>'TUC JV High Level Sales Plan'!CM27</f>
        <v>0</v>
      </c>
      <c r="I48" s="20">
        <f>'TUC JV High Level Sales Plan'!CN27</f>
        <v>0</v>
      </c>
      <c r="J48" s="20">
        <f>'TUC JV High Level Sales Plan'!CO27</f>
        <v>0</v>
      </c>
      <c r="K48" s="20">
        <f>'TUC JV High Level Sales Plan'!CP27</f>
        <v>0</v>
      </c>
      <c r="L48" s="20">
        <f>'TUC JV High Level Sales Plan'!CQ27</f>
        <v>0</v>
      </c>
      <c r="M48" s="20">
        <f>'TUC JV High Level Sales Plan'!CR27</f>
        <v>0</v>
      </c>
    </row>
    <row r="49" spans="1:14" outlineLevel="1">
      <c r="B49" s="172" t="str">
        <f t="shared" ref="B49" si="21">B26</f>
        <v>Other</v>
      </c>
      <c r="C49" s="172" t="str">
        <f t="shared" si="1"/>
        <v>Sports Nutrition</v>
      </c>
      <c r="D49" s="20">
        <f>SUMIFS('TUC JV High Level Sales Plan'!CB:CB,'TUC JV High Level Sales Plan'!$C:$C,$B26,'TUC JV High Level Sales Plan'!$D:$D,$C26)</f>
        <v>0</v>
      </c>
      <c r="E49" s="20">
        <f>'TUC JV High Level Sales Plan'!CJ28</f>
        <v>0</v>
      </c>
      <c r="F49" s="20">
        <f>'TUC JV High Level Sales Plan'!CK28</f>
        <v>0</v>
      </c>
      <c r="G49" s="20">
        <f>'TUC JV High Level Sales Plan'!CL28</f>
        <v>0</v>
      </c>
      <c r="H49" s="20">
        <f>'TUC JV High Level Sales Plan'!CM28</f>
        <v>0</v>
      </c>
      <c r="I49" s="20">
        <f>'TUC JV High Level Sales Plan'!CN28</f>
        <v>0</v>
      </c>
      <c r="J49" s="20">
        <f>'TUC JV High Level Sales Plan'!CO28</f>
        <v>0</v>
      </c>
      <c r="K49" s="20">
        <f>'TUC JV High Level Sales Plan'!CP28</f>
        <v>0</v>
      </c>
      <c r="L49" s="20">
        <f>'TUC JV High Level Sales Plan'!CQ28</f>
        <v>0</v>
      </c>
      <c r="M49" s="20">
        <f>'TUC JV High Level Sales Plan'!CR28</f>
        <v>0</v>
      </c>
    </row>
    <row r="50" spans="1:14" outlineLevel="1">
      <c r="B50" s="19"/>
      <c r="C50" s="19"/>
      <c r="D50" s="20"/>
      <c r="E50" s="20"/>
      <c r="F50" s="20"/>
      <c r="G50" s="20"/>
      <c r="H50" s="20"/>
      <c r="I50" s="20"/>
      <c r="J50" s="20"/>
      <c r="K50" s="20"/>
      <c r="L50" s="20"/>
      <c r="M50" s="20"/>
    </row>
    <row r="51" spans="1:14" outlineLevel="1">
      <c r="B51" s="19"/>
      <c r="C51" s="19"/>
      <c r="D51" s="20"/>
      <c r="E51" s="20"/>
      <c r="F51" s="20"/>
      <c r="G51" s="20"/>
      <c r="H51" s="20"/>
      <c r="I51" s="20"/>
      <c r="J51" s="20"/>
      <c r="K51" s="20"/>
      <c r="L51" s="20"/>
      <c r="M51" s="20"/>
    </row>
    <row r="52" spans="1:14" ht="15.75" thickBot="1">
      <c r="B52" s="23" t="s">
        <v>76</v>
      </c>
      <c r="C52" s="23"/>
      <c r="D52" s="173">
        <f>SUM(D29:D51)</f>
        <v>18.943136519669292</v>
      </c>
      <c r="E52" s="173">
        <f t="shared" ref="E52:M52" si="22">SUM(E29:E51)</f>
        <v>2000</v>
      </c>
      <c r="F52" s="173">
        <f t="shared" si="22"/>
        <v>4522.5711040584692</v>
      </c>
      <c r="G52" s="173">
        <f t="shared" si="22"/>
        <v>15038.735764870704</v>
      </c>
      <c r="H52" s="173">
        <f t="shared" si="22"/>
        <v>30662.572347738049</v>
      </c>
      <c r="I52" s="173">
        <f t="shared" si="22"/>
        <v>66171.678965334228</v>
      </c>
      <c r="J52" s="173">
        <f>SUM(J29:J51)</f>
        <v>72110.025226564234</v>
      </c>
      <c r="K52" s="173">
        <f t="shared" si="22"/>
        <v>78615.440816558737</v>
      </c>
      <c r="L52" s="173">
        <f t="shared" si="22"/>
        <v>85743.397724202659</v>
      </c>
      <c r="M52" s="173">
        <f t="shared" si="22"/>
        <v>93554.842345842946</v>
      </c>
    </row>
    <row r="53" spans="1:14" ht="3.75" customHeight="1">
      <c r="D53" s="14"/>
      <c r="E53" s="14"/>
      <c r="F53" s="14"/>
      <c r="G53" s="14"/>
      <c r="H53" s="14"/>
      <c r="I53" s="14"/>
      <c r="J53" s="14"/>
      <c r="K53" s="14"/>
      <c r="L53" s="14"/>
      <c r="M53" s="14"/>
    </row>
    <row r="54" spans="1:14">
      <c r="A54" s="15"/>
      <c r="B54" s="26" t="s">
        <v>77</v>
      </c>
      <c r="C54" s="26"/>
      <c r="D54" s="27"/>
      <c r="E54" s="27"/>
      <c r="F54" s="27"/>
      <c r="G54" s="27"/>
      <c r="H54" s="27"/>
      <c r="I54" s="27"/>
      <c r="J54" s="27"/>
      <c r="K54" s="27"/>
      <c r="L54" s="27"/>
      <c r="M54" s="27"/>
      <c r="N54" s="15"/>
    </row>
    <row r="55" spans="1:14" ht="15.75" thickBot="1">
      <c r="B55" s="23" t="s">
        <v>76</v>
      </c>
      <c r="C55" s="23"/>
      <c r="D55" s="173">
        <f>'TUC JV High Level Sales Plan'!DP48</f>
        <v>0</v>
      </c>
      <c r="E55" s="173">
        <f>'TUC JV High Level Sales Plan'!EB48</f>
        <v>2013</v>
      </c>
      <c r="F55" s="173">
        <f>'TUC JV High Level Sales Plan'!EC48</f>
        <v>4296.4425488555462</v>
      </c>
      <c r="G55" s="173">
        <f>'TUC JV High Level Sales Plan'!ED48</f>
        <v>13534.862188383633</v>
      </c>
      <c r="H55" s="173">
        <f>'TUC JV High Level Sales Plan'!EE48</f>
        <v>26063.186495577338</v>
      </c>
      <c r="I55" s="173">
        <f>'TUC JV High Level Sales Plan'!EF48</f>
        <v>51613.909592960699</v>
      </c>
      <c r="J55" s="173">
        <f>'TUC JV High Level Sales Plan'!EG48</f>
        <v>54082.518919923168</v>
      </c>
      <c r="K55" s="173">
        <f>'TUC JV High Level Sales Plan'!EH48</f>
        <v>58961.580612419057</v>
      </c>
      <c r="L55" s="173">
        <f>'TUC JV High Level Sales Plan'!EI48</f>
        <v>64307.548293152002</v>
      </c>
      <c r="M55" s="173">
        <f>'TUC JV High Level Sales Plan'!EJ48</f>
        <v>70166.131759382202</v>
      </c>
    </row>
    <row r="56" spans="1:14" ht="3.75" customHeight="1">
      <c r="D56" s="14"/>
      <c r="E56" s="14"/>
      <c r="F56" s="14"/>
      <c r="G56" s="14"/>
      <c r="H56" s="14"/>
      <c r="I56" s="14"/>
      <c r="J56" s="14"/>
      <c r="K56" s="14"/>
      <c r="L56" s="14"/>
      <c r="M56" s="14"/>
    </row>
    <row r="57" spans="1:14">
      <c r="A57" s="15"/>
      <c r="B57" s="174" t="s">
        <v>78</v>
      </c>
      <c r="C57" s="174"/>
      <c r="D57" s="175"/>
      <c r="E57" s="175"/>
      <c r="F57" s="175"/>
      <c r="G57" s="175"/>
      <c r="H57" s="175"/>
      <c r="I57" s="175"/>
      <c r="J57" s="175"/>
      <c r="K57" s="175"/>
      <c r="L57" s="175"/>
      <c r="M57" s="175"/>
      <c r="N57" s="15"/>
    </row>
    <row r="58" spans="1:14" ht="15.75" thickBot="1">
      <c r="B58" s="23" t="s">
        <v>76</v>
      </c>
      <c r="C58" s="23"/>
      <c r="D58" s="173">
        <f>D52-D55</f>
        <v>18.943136519669292</v>
      </c>
      <c r="E58" s="173">
        <f t="shared" ref="E58:M58" si="23">E52-E55</f>
        <v>-13</v>
      </c>
      <c r="F58" s="173">
        <f t="shared" si="23"/>
        <v>226.12855520292305</v>
      </c>
      <c r="G58" s="173">
        <f t="shared" si="23"/>
        <v>1503.8735764870707</v>
      </c>
      <c r="H58" s="173">
        <f t="shared" si="23"/>
        <v>4599.3858521607108</v>
      </c>
      <c r="I58" s="173">
        <f t="shared" si="23"/>
        <v>14557.769372373528</v>
      </c>
      <c r="J58" s="173">
        <f t="shared" si="23"/>
        <v>18027.506306641066</v>
      </c>
      <c r="K58" s="173">
        <f t="shared" si="23"/>
        <v>19653.860204139681</v>
      </c>
      <c r="L58" s="173">
        <f t="shared" si="23"/>
        <v>21435.849431050658</v>
      </c>
      <c r="M58" s="173">
        <f t="shared" si="23"/>
        <v>23388.710586460744</v>
      </c>
    </row>
    <row r="59" spans="1:14" ht="3.75" customHeight="1">
      <c r="D59" s="14"/>
      <c r="E59" s="14"/>
      <c r="F59" s="14"/>
      <c r="G59" s="14"/>
      <c r="H59" s="14"/>
      <c r="I59" s="14"/>
      <c r="J59" s="14"/>
      <c r="K59" s="14"/>
      <c r="L59" s="14"/>
      <c r="M59" s="14"/>
    </row>
    <row r="60" spans="1:14">
      <c r="A60" s="15"/>
      <c r="B60" s="28" t="s">
        <v>79</v>
      </c>
      <c r="C60" s="28"/>
      <c r="D60" s="29"/>
      <c r="E60" s="29"/>
      <c r="F60" s="29"/>
      <c r="G60" s="29"/>
      <c r="H60" s="29"/>
      <c r="I60" s="29"/>
      <c r="J60" s="29"/>
      <c r="K60" s="29"/>
      <c r="L60" s="29"/>
      <c r="M60" s="29"/>
      <c r="N60" s="15"/>
    </row>
    <row r="61" spans="1:14" ht="15.75" thickBot="1">
      <c r="B61" s="23" t="s">
        <v>76</v>
      </c>
      <c r="C61" s="23"/>
      <c r="D61" s="173">
        <f>Overheads!C$203</f>
        <v>0</v>
      </c>
      <c r="E61" s="173">
        <f>Overheads!D$203</f>
        <v>0</v>
      </c>
      <c r="F61" s="173">
        <f>Overheads!E$203</f>
        <v>0</v>
      </c>
      <c r="G61" s="173">
        <f>Overheads!F$203</f>
        <v>0</v>
      </c>
      <c r="H61" s="173">
        <f>Overheads!G$203</f>
        <v>0</v>
      </c>
      <c r="I61" s="173">
        <f>Overheads!H$203</f>
        <v>0</v>
      </c>
      <c r="J61" s="173">
        <f>Overheads!I$203</f>
        <v>0</v>
      </c>
      <c r="K61" s="173">
        <f>Overheads!J$203</f>
        <v>0</v>
      </c>
      <c r="L61" s="173">
        <f>Overheads!K$203</f>
        <v>0</v>
      </c>
      <c r="M61" s="173">
        <f>Overheads!L$203</f>
        <v>0</v>
      </c>
    </row>
    <row r="62" spans="1:14" ht="3.75" customHeight="1">
      <c r="D62" s="14"/>
      <c r="E62" s="14"/>
      <c r="F62" s="14"/>
      <c r="G62" s="14"/>
      <c r="H62" s="14"/>
      <c r="I62" s="14"/>
      <c r="J62" s="14"/>
      <c r="K62" s="14"/>
      <c r="L62" s="14"/>
      <c r="M62" s="14"/>
    </row>
    <row r="63" spans="1:14">
      <c r="A63" s="15"/>
      <c r="B63" s="28" t="s">
        <v>81</v>
      </c>
      <c r="C63" s="28"/>
      <c r="D63" s="29"/>
      <c r="E63" s="29"/>
      <c r="F63" s="29"/>
      <c r="G63" s="29"/>
      <c r="H63" s="29"/>
      <c r="I63" s="29"/>
      <c r="J63" s="29"/>
      <c r="K63" s="29"/>
      <c r="L63" s="29"/>
      <c r="M63" s="29"/>
      <c r="N63" s="15"/>
    </row>
    <row r="64" spans="1:14" ht="15.75" thickBot="1">
      <c r="B64" s="23" t="s">
        <v>76</v>
      </c>
      <c r="C64" s="23"/>
      <c r="D64" s="173">
        <f>D58-D61</f>
        <v>18.943136519669292</v>
      </c>
      <c r="E64" s="173">
        <f t="shared" ref="E64:M64" si="24">E58-E61</f>
        <v>-13</v>
      </c>
      <c r="F64" s="173">
        <f t="shared" si="24"/>
        <v>226.12855520292305</v>
      </c>
      <c r="G64" s="173">
        <f t="shared" si="24"/>
        <v>1503.8735764870707</v>
      </c>
      <c r="H64" s="173">
        <f t="shared" si="24"/>
        <v>4599.3858521607108</v>
      </c>
      <c r="I64" s="173">
        <f t="shared" si="24"/>
        <v>14557.769372373528</v>
      </c>
      <c r="J64" s="173">
        <f t="shared" si="24"/>
        <v>18027.506306641066</v>
      </c>
      <c r="K64" s="173">
        <f t="shared" si="24"/>
        <v>19653.860204139681</v>
      </c>
      <c r="L64" s="173">
        <f t="shared" si="24"/>
        <v>21435.849431050658</v>
      </c>
      <c r="M64" s="173">
        <f t="shared" si="24"/>
        <v>23388.710586460744</v>
      </c>
    </row>
    <row r="65" spans="2:13">
      <c r="B65" s="176"/>
      <c r="C65" s="176"/>
      <c r="D65" s="177"/>
      <c r="E65" s="178"/>
      <c r="F65" s="178"/>
      <c r="G65" s="178"/>
      <c r="H65" s="178"/>
      <c r="I65" s="178"/>
      <c r="J65" s="178"/>
      <c r="K65" s="178"/>
      <c r="L65" s="178"/>
      <c r="M65" s="178"/>
    </row>
  </sheetData>
  <pageMargins left="0.7" right="0.7" top="0.75" bottom="0.75" header="0.3" footer="0.3"/>
  <pageSetup scale="56"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67FA9-9BC3-4AC6-83B5-754657E13C75}">
  <sheetPr>
    <tabColor theme="6" tint="0.79998168889431442"/>
  </sheetPr>
  <dimension ref="A1:EK63"/>
  <sheetViews>
    <sheetView workbookViewId="0"/>
  </sheetViews>
  <sheetFormatPr defaultRowHeight="15"/>
  <cols>
    <col min="1" max="1" width="1.6640625" style="8" customWidth="1"/>
    <col min="2" max="3" width="27.5546875" style="8" customWidth="1"/>
    <col min="4" max="4" width="22.5546875" style="8" customWidth="1"/>
    <col min="5" max="5" width="16.6640625" style="8" hidden="1" customWidth="1"/>
    <col min="6" max="6" width="11.33203125" style="8" hidden="1" customWidth="1"/>
    <col min="7" max="7" width="17.44140625" style="8" hidden="1" customWidth="1"/>
    <col min="8" max="8" width="0" style="8" hidden="1" customWidth="1"/>
    <col min="9" max="9" width="0.5546875" style="8" customWidth="1"/>
    <col min="10" max="10" width="10.33203125" style="8" bestFit="1" customWidth="1"/>
    <col min="11" max="19" width="9.109375" style="8"/>
    <col min="20" max="20" width="0.5546875" style="8" customWidth="1"/>
    <col min="21" max="21" width="10.33203125" style="8" bestFit="1" customWidth="1"/>
    <col min="22" max="30" width="9.109375" style="8"/>
    <col min="31" max="31" width="0.5546875" style="8" customWidth="1"/>
    <col min="32" max="32" width="10.33203125" style="8" bestFit="1" customWidth="1"/>
    <col min="33" max="41" width="9.109375" style="8"/>
    <col min="42" max="42" width="0.5546875" style="8" customWidth="1"/>
    <col min="43" max="43" width="10.33203125" style="8" bestFit="1" customWidth="1"/>
    <col min="44" max="52" width="9.109375" style="8"/>
    <col min="53" max="53" width="0.5546875" style="8" customWidth="1"/>
    <col min="54" max="54" width="10.33203125" style="8" bestFit="1" customWidth="1"/>
    <col min="55" max="63" width="9.109375" style="8"/>
    <col min="64" max="64" width="0.5546875" style="8" customWidth="1"/>
    <col min="65" max="74" width="11.44140625" style="8" customWidth="1"/>
    <col min="75" max="75" width="0.5546875" style="8" customWidth="1"/>
    <col min="76" max="76" width="10.6640625" style="8" customWidth="1"/>
    <col min="77" max="77" width="11.6640625" style="8" bestFit="1" customWidth="1"/>
    <col min="78" max="78" width="12" style="8" bestFit="1" customWidth="1"/>
    <col min="79" max="79" width="10.44140625" style="8" bestFit="1" customWidth="1"/>
    <col min="80" max="85" width="10.6640625" style="8" customWidth="1"/>
    <col min="86" max="86" width="0.5546875" style="8" customWidth="1"/>
    <col min="87" max="87" width="10.6640625" style="8" customWidth="1"/>
    <col min="88" max="96" width="12.33203125" style="8" bestFit="1" customWidth="1"/>
    <col min="97" max="97" width="0.5546875" style="8" customWidth="1"/>
    <col min="98" max="107" width="9.6640625" style="8" customWidth="1"/>
    <col min="108" max="108" width="0.5546875" style="8" customWidth="1"/>
    <col min="109" max="118" width="9.6640625" style="8" customWidth="1"/>
    <col min="119" max="119" width="0.5546875" style="8" customWidth="1"/>
    <col min="120" max="129" width="9.6640625" style="8" customWidth="1"/>
    <col min="130" max="130" width="0.5546875" style="8" customWidth="1"/>
    <col min="131" max="140" width="12.33203125" style="8" customWidth="1"/>
    <col min="141" max="141" width="0.5546875" style="8" customWidth="1"/>
  </cols>
  <sheetData>
    <row r="1" spans="1:141" ht="35.25">
      <c r="A1" s="9"/>
      <c r="B1" s="10" t="s">
        <v>174</v>
      </c>
      <c r="C1" s="10"/>
      <c r="D1" s="10"/>
      <c r="E1" s="11"/>
      <c r="F1" s="11"/>
      <c r="G1" s="11"/>
      <c r="H1" s="10"/>
      <c r="I1" s="10"/>
      <c r="J1" s="11"/>
      <c r="K1" s="11"/>
      <c r="L1" s="11"/>
      <c r="M1" s="11"/>
      <c r="N1" s="11"/>
      <c r="O1" s="11"/>
      <c r="P1" s="11"/>
      <c r="Q1" s="11"/>
      <c r="R1" s="11"/>
      <c r="S1" s="11"/>
      <c r="T1" s="10"/>
      <c r="U1" s="11"/>
      <c r="V1" s="11"/>
      <c r="W1" s="11"/>
      <c r="X1" s="11"/>
      <c r="Y1" s="11"/>
      <c r="Z1" s="11"/>
      <c r="AA1" s="11"/>
      <c r="AB1" s="11"/>
      <c r="AC1" s="11"/>
      <c r="AD1" s="11"/>
      <c r="AE1" s="10"/>
      <c r="AF1" s="11"/>
      <c r="AG1" s="11"/>
      <c r="AH1" s="11"/>
      <c r="AI1" s="11"/>
      <c r="AJ1" s="11"/>
      <c r="AK1" s="11"/>
      <c r="AL1" s="11"/>
      <c r="AM1" s="11"/>
      <c r="AN1" s="11"/>
      <c r="AO1" s="11"/>
      <c r="AP1" s="10"/>
      <c r="AQ1" s="11"/>
      <c r="AR1" s="11"/>
      <c r="AS1" s="11"/>
      <c r="AT1" s="11"/>
      <c r="AU1" s="11"/>
      <c r="AV1" s="11"/>
      <c r="AW1" s="11"/>
      <c r="AX1" s="11"/>
      <c r="AY1" s="11"/>
      <c r="AZ1" s="11"/>
      <c r="BA1" s="10"/>
      <c r="BB1" s="11"/>
      <c r="BC1" s="11"/>
      <c r="BD1" s="11"/>
      <c r="BE1" s="11"/>
      <c r="BF1" s="11"/>
      <c r="BG1" s="11"/>
      <c r="BH1" s="11"/>
      <c r="BI1" s="11"/>
      <c r="BJ1" s="11"/>
      <c r="BK1" s="11"/>
      <c r="BL1" s="10"/>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row>
    <row r="3" spans="1:141">
      <c r="J3" s="140" t="s">
        <v>133</v>
      </c>
      <c r="K3" s="140"/>
      <c r="L3" s="140"/>
      <c r="M3" s="140"/>
      <c r="N3" s="140"/>
      <c r="O3" s="140"/>
      <c r="P3" s="140"/>
      <c r="Q3" s="140"/>
      <c r="R3" s="140"/>
      <c r="S3" s="140"/>
      <c r="U3" s="140" t="s">
        <v>133</v>
      </c>
      <c r="V3" s="140"/>
      <c r="W3" s="140"/>
      <c r="X3" s="140"/>
      <c r="Y3" s="140"/>
      <c r="Z3" s="140"/>
      <c r="AA3" s="140"/>
      <c r="AB3" s="140"/>
      <c r="AC3" s="140"/>
      <c r="AD3" s="140"/>
      <c r="AF3" s="140" t="s">
        <v>133</v>
      </c>
      <c r="AG3" s="140"/>
      <c r="AH3" s="140"/>
      <c r="AI3" s="140"/>
      <c r="AJ3" s="140"/>
      <c r="AK3" s="140"/>
      <c r="AL3" s="140"/>
      <c r="AM3" s="140"/>
      <c r="AN3" s="140"/>
      <c r="AO3" s="140"/>
      <c r="AQ3" s="140" t="s">
        <v>133</v>
      </c>
      <c r="AR3" s="140"/>
      <c r="AS3" s="140"/>
      <c r="AT3" s="140"/>
      <c r="AU3" s="140"/>
      <c r="AV3" s="140"/>
      <c r="AW3" s="140"/>
      <c r="AX3" s="140"/>
      <c r="AY3" s="140"/>
      <c r="AZ3" s="140"/>
      <c r="BB3" s="140" t="s">
        <v>133</v>
      </c>
      <c r="BC3" s="140"/>
      <c r="BD3" s="140"/>
      <c r="BE3" s="140"/>
      <c r="BF3" s="140"/>
      <c r="BG3" s="140"/>
      <c r="BH3" s="140"/>
      <c r="BI3" s="140"/>
      <c r="BJ3" s="140"/>
      <c r="BK3" s="140"/>
      <c r="BM3" s="141" t="s">
        <v>134</v>
      </c>
      <c r="BN3" s="141"/>
      <c r="BO3" s="141"/>
      <c r="BP3" s="141"/>
      <c r="BQ3" s="141"/>
      <c r="BR3" s="141"/>
      <c r="BS3" s="141"/>
      <c r="BT3" s="141"/>
      <c r="BU3" s="141"/>
      <c r="BV3" s="141"/>
      <c r="BX3" s="140" t="s">
        <v>133</v>
      </c>
      <c r="BY3" s="140"/>
      <c r="BZ3" s="140"/>
      <c r="CA3" s="140"/>
      <c r="CB3" s="140"/>
      <c r="CC3" s="140"/>
      <c r="CD3" s="140"/>
      <c r="CE3" s="140"/>
      <c r="CF3" s="140"/>
      <c r="CG3" s="140"/>
      <c r="CI3" s="141" t="s">
        <v>134</v>
      </c>
      <c r="CJ3" s="141"/>
      <c r="CK3" s="141"/>
      <c r="CL3" s="141"/>
      <c r="CM3" s="141"/>
      <c r="CN3" s="141"/>
      <c r="CO3" s="141"/>
      <c r="CP3" s="141"/>
      <c r="CQ3" s="141"/>
      <c r="CR3" s="141"/>
      <c r="CT3" s="141" t="s">
        <v>134</v>
      </c>
      <c r="CU3" s="141"/>
      <c r="CV3" s="141"/>
      <c r="CW3" s="141"/>
      <c r="CX3" s="141"/>
      <c r="CY3" s="141"/>
      <c r="CZ3" s="141"/>
      <c r="DA3" s="141"/>
      <c r="DB3" s="141"/>
      <c r="DC3" s="141"/>
      <c r="DE3" s="141" t="s">
        <v>134</v>
      </c>
      <c r="DF3" s="141"/>
      <c r="DG3" s="141"/>
      <c r="DH3" s="141"/>
      <c r="DI3" s="141"/>
      <c r="DJ3" s="141"/>
      <c r="DK3" s="141"/>
      <c r="DL3" s="141"/>
      <c r="DM3" s="141"/>
      <c r="DN3" s="141"/>
      <c r="DP3" s="140" t="s">
        <v>133</v>
      </c>
      <c r="DQ3" s="140"/>
      <c r="DR3" s="140"/>
      <c r="DS3" s="140"/>
      <c r="DT3" s="140"/>
      <c r="DU3" s="140"/>
      <c r="DV3" s="140"/>
      <c r="DW3" s="140"/>
      <c r="DX3" s="140"/>
      <c r="DY3" s="140"/>
      <c r="EA3" s="141" t="s">
        <v>134</v>
      </c>
      <c r="EB3" s="141"/>
      <c r="EC3" s="141"/>
      <c r="ED3" s="141"/>
      <c r="EE3" s="141"/>
      <c r="EF3" s="141"/>
      <c r="EG3" s="141"/>
      <c r="EH3" s="141"/>
      <c r="EI3" s="141"/>
      <c r="EJ3" s="141"/>
    </row>
    <row r="4" spans="1:141">
      <c r="CB4" s="211">
        <v>3.5000000000000003E-2</v>
      </c>
    </row>
    <row r="5" spans="1:141">
      <c r="B5" s="12" t="s">
        <v>64</v>
      </c>
      <c r="C5" s="12"/>
      <c r="D5" s="12"/>
      <c r="E5" s="13"/>
      <c r="F5" s="13"/>
      <c r="G5" s="13"/>
      <c r="H5" s="12"/>
      <c r="J5" s="13">
        <v>2022</v>
      </c>
      <c r="K5" s="13">
        <f>J5+1</f>
        <v>2023</v>
      </c>
      <c r="L5" s="13">
        <f t="shared" ref="L5:S5" si="0">K5+1</f>
        <v>2024</v>
      </c>
      <c r="M5" s="13">
        <f t="shared" si="0"/>
        <v>2025</v>
      </c>
      <c r="N5" s="13">
        <f t="shared" si="0"/>
        <v>2026</v>
      </c>
      <c r="O5" s="13">
        <f t="shared" si="0"/>
        <v>2027</v>
      </c>
      <c r="P5" s="13">
        <f t="shared" si="0"/>
        <v>2028</v>
      </c>
      <c r="Q5" s="13">
        <f t="shared" si="0"/>
        <v>2029</v>
      </c>
      <c r="R5" s="13">
        <f t="shared" si="0"/>
        <v>2030</v>
      </c>
      <c r="S5" s="13">
        <f t="shared" si="0"/>
        <v>2031</v>
      </c>
      <c r="U5" s="13">
        <v>2022</v>
      </c>
      <c r="V5" s="13">
        <f>U5+1</f>
        <v>2023</v>
      </c>
      <c r="W5" s="13">
        <f t="shared" ref="W5:AD5" si="1">V5+1</f>
        <v>2024</v>
      </c>
      <c r="X5" s="13">
        <f t="shared" si="1"/>
        <v>2025</v>
      </c>
      <c r="Y5" s="13">
        <f t="shared" si="1"/>
        <v>2026</v>
      </c>
      <c r="Z5" s="13">
        <f t="shared" si="1"/>
        <v>2027</v>
      </c>
      <c r="AA5" s="13">
        <f t="shared" si="1"/>
        <v>2028</v>
      </c>
      <c r="AB5" s="13">
        <f t="shared" si="1"/>
        <v>2029</v>
      </c>
      <c r="AC5" s="13">
        <f t="shared" si="1"/>
        <v>2030</v>
      </c>
      <c r="AD5" s="13">
        <f t="shared" si="1"/>
        <v>2031</v>
      </c>
      <c r="AF5" s="13">
        <v>2022</v>
      </c>
      <c r="AG5" s="13">
        <f>AF5+1</f>
        <v>2023</v>
      </c>
      <c r="AH5" s="13">
        <f t="shared" ref="AH5:AO5" si="2">AG5+1</f>
        <v>2024</v>
      </c>
      <c r="AI5" s="13">
        <f t="shared" si="2"/>
        <v>2025</v>
      </c>
      <c r="AJ5" s="13">
        <f t="shared" si="2"/>
        <v>2026</v>
      </c>
      <c r="AK5" s="13">
        <f t="shared" si="2"/>
        <v>2027</v>
      </c>
      <c r="AL5" s="13">
        <f t="shared" si="2"/>
        <v>2028</v>
      </c>
      <c r="AM5" s="13">
        <f t="shared" si="2"/>
        <v>2029</v>
      </c>
      <c r="AN5" s="13">
        <f t="shared" si="2"/>
        <v>2030</v>
      </c>
      <c r="AO5" s="13">
        <f t="shared" si="2"/>
        <v>2031</v>
      </c>
      <c r="AQ5" s="13">
        <v>2022</v>
      </c>
      <c r="AR5" s="13">
        <f>AQ5+1</f>
        <v>2023</v>
      </c>
      <c r="AS5" s="13">
        <f t="shared" ref="AS5:AZ5" si="3">AR5+1</f>
        <v>2024</v>
      </c>
      <c r="AT5" s="13">
        <f t="shared" si="3"/>
        <v>2025</v>
      </c>
      <c r="AU5" s="13">
        <f t="shared" si="3"/>
        <v>2026</v>
      </c>
      <c r="AV5" s="13">
        <f t="shared" si="3"/>
        <v>2027</v>
      </c>
      <c r="AW5" s="13">
        <f t="shared" si="3"/>
        <v>2028</v>
      </c>
      <c r="AX5" s="13">
        <f t="shared" si="3"/>
        <v>2029</v>
      </c>
      <c r="AY5" s="13">
        <f t="shared" si="3"/>
        <v>2030</v>
      </c>
      <c r="AZ5" s="13">
        <f t="shared" si="3"/>
        <v>2031</v>
      </c>
      <c r="BB5" s="13">
        <v>2022</v>
      </c>
      <c r="BC5" s="13">
        <f>BB5+1</f>
        <v>2023</v>
      </c>
      <c r="BD5" s="13">
        <f t="shared" ref="BD5:BK5" si="4">BC5+1</f>
        <v>2024</v>
      </c>
      <c r="BE5" s="13">
        <f t="shared" si="4"/>
        <v>2025</v>
      </c>
      <c r="BF5" s="13">
        <f t="shared" si="4"/>
        <v>2026</v>
      </c>
      <c r="BG5" s="13">
        <f t="shared" si="4"/>
        <v>2027</v>
      </c>
      <c r="BH5" s="13">
        <f t="shared" si="4"/>
        <v>2028</v>
      </c>
      <c r="BI5" s="13">
        <f t="shared" si="4"/>
        <v>2029</v>
      </c>
      <c r="BJ5" s="13">
        <f t="shared" si="4"/>
        <v>2030</v>
      </c>
      <c r="BK5" s="13">
        <f t="shared" si="4"/>
        <v>2031</v>
      </c>
      <c r="BM5" s="13">
        <v>2022</v>
      </c>
      <c r="BN5" s="13">
        <f>BM5+1</f>
        <v>2023</v>
      </c>
      <c r="BO5" s="13">
        <f t="shared" ref="BO5:BV5" si="5">BN5+1</f>
        <v>2024</v>
      </c>
      <c r="BP5" s="13">
        <f t="shared" si="5"/>
        <v>2025</v>
      </c>
      <c r="BQ5" s="13">
        <f t="shared" si="5"/>
        <v>2026</v>
      </c>
      <c r="BR5" s="13">
        <f t="shared" si="5"/>
        <v>2027</v>
      </c>
      <c r="BS5" s="13">
        <f t="shared" si="5"/>
        <v>2028</v>
      </c>
      <c r="BT5" s="13">
        <f t="shared" si="5"/>
        <v>2029</v>
      </c>
      <c r="BU5" s="13">
        <f t="shared" si="5"/>
        <v>2030</v>
      </c>
      <c r="BV5" s="13">
        <f t="shared" si="5"/>
        <v>2031</v>
      </c>
      <c r="BX5" s="13">
        <v>2022</v>
      </c>
      <c r="BY5" s="13">
        <f>BX5+1</f>
        <v>2023</v>
      </c>
      <c r="BZ5" s="13">
        <f t="shared" ref="BZ5:CG5" si="6">BY5+1</f>
        <v>2024</v>
      </c>
      <c r="CA5" s="13">
        <f t="shared" si="6"/>
        <v>2025</v>
      </c>
      <c r="CB5" s="13">
        <f t="shared" si="6"/>
        <v>2026</v>
      </c>
      <c r="CC5" s="13">
        <f t="shared" si="6"/>
        <v>2027</v>
      </c>
      <c r="CD5" s="13">
        <f t="shared" si="6"/>
        <v>2028</v>
      </c>
      <c r="CE5" s="13">
        <f t="shared" si="6"/>
        <v>2029</v>
      </c>
      <c r="CF5" s="13">
        <f t="shared" si="6"/>
        <v>2030</v>
      </c>
      <c r="CG5" s="13">
        <f t="shared" si="6"/>
        <v>2031</v>
      </c>
      <c r="CI5" s="13">
        <v>2022</v>
      </c>
      <c r="CJ5" s="13">
        <f>CI5+1</f>
        <v>2023</v>
      </c>
      <c r="CK5" s="13">
        <f t="shared" ref="CK5:CR5" si="7">CJ5+1</f>
        <v>2024</v>
      </c>
      <c r="CL5" s="13">
        <f t="shared" si="7"/>
        <v>2025</v>
      </c>
      <c r="CM5" s="13">
        <f t="shared" si="7"/>
        <v>2026</v>
      </c>
      <c r="CN5" s="13">
        <f t="shared" si="7"/>
        <v>2027</v>
      </c>
      <c r="CO5" s="13">
        <f t="shared" si="7"/>
        <v>2028</v>
      </c>
      <c r="CP5" s="13">
        <f t="shared" si="7"/>
        <v>2029</v>
      </c>
      <c r="CQ5" s="13">
        <f t="shared" si="7"/>
        <v>2030</v>
      </c>
      <c r="CR5" s="13">
        <f t="shared" si="7"/>
        <v>2031</v>
      </c>
      <c r="CT5" s="13">
        <v>2022</v>
      </c>
      <c r="CU5" s="13">
        <f>CT5+1</f>
        <v>2023</v>
      </c>
      <c r="CV5" s="13">
        <f t="shared" ref="CV5:DC5" si="8">CU5+1</f>
        <v>2024</v>
      </c>
      <c r="CW5" s="13">
        <f t="shared" si="8"/>
        <v>2025</v>
      </c>
      <c r="CX5" s="13">
        <f t="shared" si="8"/>
        <v>2026</v>
      </c>
      <c r="CY5" s="13">
        <f t="shared" si="8"/>
        <v>2027</v>
      </c>
      <c r="CZ5" s="13">
        <f t="shared" si="8"/>
        <v>2028</v>
      </c>
      <c r="DA5" s="13">
        <f t="shared" si="8"/>
        <v>2029</v>
      </c>
      <c r="DB5" s="13">
        <f t="shared" si="8"/>
        <v>2030</v>
      </c>
      <c r="DC5" s="13">
        <f t="shared" si="8"/>
        <v>2031</v>
      </c>
      <c r="DE5" s="13">
        <v>2022</v>
      </c>
      <c r="DF5" s="13">
        <f>DE5+1</f>
        <v>2023</v>
      </c>
      <c r="DG5" s="13">
        <f t="shared" ref="DG5:DN5" si="9">DF5+1</f>
        <v>2024</v>
      </c>
      <c r="DH5" s="13">
        <f t="shared" si="9"/>
        <v>2025</v>
      </c>
      <c r="DI5" s="13">
        <f t="shared" si="9"/>
        <v>2026</v>
      </c>
      <c r="DJ5" s="13">
        <f t="shared" si="9"/>
        <v>2027</v>
      </c>
      <c r="DK5" s="13">
        <f t="shared" si="9"/>
        <v>2028</v>
      </c>
      <c r="DL5" s="13">
        <f t="shared" si="9"/>
        <v>2029</v>
      </c>
      <c r="DM5" s="13">
        <f t="shared" si="9"/>
        <v>2030</v>
      </c>
      <c r="DN5" s="13">
        <f t="shared" si="9"/>
        <v>2031</v>
      </c>
      <c r="DP5" s="13">
        <v>2022</v>
      </c>
      <c r="DQ5" s="13">
        <f>DP5+1</f>
        <v>2023</v>
      </c>
      <c r="DR5" s="13">
        <f t="shared" ref="DR5:DY5" si="10">DQ5+1</f>
        <v>2024</v>
      </c>
      <c r="DS5" s="13">
        <f t="shared" si="10"/>
        <v>2025</v>
      </c>
      <c r="DT5" s="13">
        <f t="shared" si="10"/>
        <v>2026</v>
      </c>
      <c r="DU5" s="13">
        <f t="shared" si="10"/>
        <v>2027</v>
      </c>
      <c r="DV5" s="13">
        <f t="shared" si="10"/>
        <v>2028</v>
      </c>
      <c r="DW5" s="13">
        <f t="shared" si="10"/>
        <v>2029</v>
      </c>
      <c r="DX5" s="13">
        <f t="shared" si="10"/>
        <v>2030</v>
      </c>
      <c r="DY5" s="13">
        <f t="shared" si="10"/>
        <v>2031</v>
      </c>
      <c r="EA5" s="13">
        <v>2022</v>
      </c>
      <c r="EB5" s="13">
        <f>EA5+1</f>
        <v>2023</v>
      </c>
      <c r="EC5" s="13">
        <f t="shared" ref="EC5:EJ5" si="11">EB5+1</f>
        <v>2024</v>
      </c>
      <c r="ED5" s="13">
        <f t="shared" si="11"/>
        <v>2025</v>
      </c>
      <c r="EE5" s="13">
        <f t="shared" si="11"/>
        <v>2026</v>
      </c>
      <c r="EF5" s="13">
        <f t="shared" si="11"/>
        <v>2027</v>
      </c>
      <c r="EG5" s="13">
        <f t="shared" si="11"/>
        <v>2028</v>
      </c>
      <c r="EH5" s="13">
        <f t="shared" si="11"/>
        <v>2029</v>
      </c>
      <c r="EI5" s="13">
        <f t="shared" si="11"/>
        <v>2030</v>
      </c>
      <c r="EJ5" s="13">
        <f t="shared" si="11"/>
        <v>2031</v>
      </c>
    </row>
    <row r="6" spans="1:141">
      <c r="B6" s="100"/>
      <c r="C6" s="100"/>
      <c r="D6" s="100"/>
      <c r="H6" s="100"/>
      <c r="AW6" s="507">
        <v>6.2E-2</v>
      </c>
    </row>
    <row r="7" spans="1:141">
      <c r="B7" s="142" t="s">
        <v>135</v>
      </c>
      <c r="C7" s="142"/>
      <c r="D7" s="142" t="s">
        <v>136</v>
      </c>
      <c r="E7" s="142" t="s">
        <v>137</v>
      </c>
      <c r="F7" s="142" t="s">
        <v>138</v>
      </c>
      <c r="G7" s="142" t="s">
        <v>139</v>
      </c>
      <c r="H7" s="142" t="s">
        <v>140</v>
      </c>
      <c r="J7" s="157" t="s">
        <v>141</v>
      </c>
      <c r="K7" s="158"/>
      <c r="L7" s="158"/>
      <c r="M7" s="158"/>
      <c r="N7" s="158"/>
      <c r="O7" s="158"/>
      <c r="P7" s="158"/>
      <c r="Q7" s="158"/>
      <c r="R7" s="158"/>
      <c r="S7" s="158"/>
      <c r="U7" s="157" t="s">
        <v>142</v>
      </c>
      <c r="V7" s="158"/>
      <c r="W7" s="158"/>
      <c r="X7" s="158"/>
      <c r="Y7" s="158"/>
      <c r="Z7" s="158"/>
      <c r="AA7" s="158"/>
      <c r="AB7" s="158"/>
      <c r="AC7" s="158"/>
      <c r="AD7" s="158"/>
      <c r="AF7" s="157" t="s">
        <v>143</v>
      </c>
      <c r="AG7" s="158"/>
      <c r="AH7" s="158"/>
      <c r="AI7" s="158"/>
      <c r="AJ7" s="158"/>
      <c r="AK7" s="158"/>
      <c r="AL7" s="158"/>
      <c r="AM7" s="158"/>
      <c r="AN7" s="158"/>
      <c r="AO7" s="158"/>
      <c r="AQ7" s="157" t="s">
        <v>144</v>
      </c>
      <c r="AR7" s="158"/>
      <c r="AS7" s="158"/>
      <c r="AT7" s="158"/>
      <c r="AU7" s="158"/>
      <c r="AV7" s="158"/>
      <c r="AW7" s="158"/>
      <c r="AX7" s="158"/>
      <c r="AY7" s="158"/>
      <c r="AZ7" s="158"/>
      <c r="BB7" s="157" t="s">
        <v>145</v>
      </c>
      <c r="BC7" s="158"/>
      <c r="BD7" s="158"/>
      <c r="BE7" s="158"/>
      <c r="BF7" s="158"/>
      <c r="BG7" s="158"/>
      <c r="BH7" s="158"/>
      <c r="BI7" s="158"/>
      <c r="BJ7" s="158"/>
      <c r="BK7" s="158"/>
      <c r="BM7" s="143" t="s">
        <v>120</v>
      </c>
      <c r="BN7" s="144"/>
      <c r="BO7" s="144"/>
      <c r="BP7" s="144"/>
      <c r="BQ7" s="144"/>
      <c r="BR7" s="144"/>
      <c r="BS7" s="144"/>
      <c r="BT7" s="144"/>
      <c r="BU7" s="144"/>
      <c r="BV7" s="144"/>
      <c r="BX7" s="162" t="s">
        <v>648</v>
      </c>
      <c r="BY7" s="163"/>
      <c r="BZ7" s="163"/>
      <c r="CA7" s="163"/>
      <c r="CB7" s="163"/>
      <c r="CC7" s="163"/>
      <c r="CD7" s="163"/>
      <c r="CE7" s="163"/>
      <c r="CF7" s="163"/>
      <c r="CG7" s="163"/>
      <c r="CI7" s="145" t="s">
        <v>66</v>
      </c>
      <c r="CJ7" s="146"/>
      <c r="CK7" s="146"/>
      <c r="CL7" s="146"/>
      <c r="CM7" s="146"/>
      <c r="CN7" s="146"/>
      <c r="CO7" s="146"/>
      <c r="CP7" s="146"/>
      <c r="CQ7" s="146"/>
      <c r="CR7" s="146"/>
      <c r="CT7" s="147" t="s">
        <v>151</v>
      </c>
      <c r="CU7" s="148"/>
      <c r="CV7" s="148"/>
      <c r="CW7" s="148"/>
      <c r="CX7" s="148"/>
      <c r="CY7" s="148"/>
      <c r="CZ7" s="148"/>
      <c r="DA7" s="148"/>
      <c r="DB7" s="148"/>
      <c r="DC7" s="148"/>
      <c r="DE7" s="147" t="s">
        <v>152</v>
      </c>
      <c r="DF7" s="148"/>
      <c r="DG7" s="148"/>
      <c r="DH7" s="148"/>
      <c r="DI7" s="148"/>
      <c r="DJ7" s="148"/>
      <c r="DK7" s="148"/>
      <c r="DL7" s="148"/>
      <c r="DM7" s="148"/>
      <c r="DN7" s="148"/>
      <c r="DP7" s="147" t="s">
        <v>153</v>
      </c>
      <c r="DQ7" s="148"/>
      <c r="DR7" s="148"/>
      <c r="DS7" s="148"/>
      <c r="DT7" s="148"/>
      <c r="DU7" s="148"/>
      <c r="DV7" s="148"/>
      <c r="DW7" s="148"/>
      <c r="DX7" s="148"/>
      <c r="DY7" s="148"/>
      <c r="EA7" s="149" t="s">
        <v>77</v>
      </c>
      <c r="EB7" s="150"/>
      <c r="EC7" s="150"/>
      <c r="ED7" s="150"/>
      <c r="EE7" s="150"/>
      <c r="EF7" s="150"/>
      <c r="EG7" s="150"/>
      <c r="EH7" s="150"/>
      <c r="EI7" s="150"/>
      <c r="EJ7" s="150"/>
    </row>
    <row r="8" spans="1:141" ht="15.75">
      <c r="B8" s="124" t="s">
        <v>175</v>
      </c>
      <c r="C8" s="124" t="s">
        <v>429</v>
      </c>
      <c r="D8" s="124" t="s">
        <v>435</v>
      </c>
      <c r="E8" s="151">
        <v>0.02</v>
      </c>
      <c r="F8" s="170">
        <v>0.25110000000000005</v>
      </c>
      <c r="G8" s="151">
        <v>1</v>
      </c>
      <c r="H8" s="124" t="s">
        <v>430</v>
      </c>
      <c r="J8" s="508">
        <v>3</v>
      </c>
      <c r="K8" s="508">
        <v>1.5228135781755292</v>
      </c>
      <c r="L8" s="508">
        <f>K8+0.5</f>
        <v>2.022813578175529</v>
      </c>
      <c r="M8" s="508">
        <v>3</v>
      </c>
      <c r="N8" s="508">
        <f>M8</f>
        <v>3</v>
      </c>
      <c r="O8" s="508">
        <f t="shared" ref="O8:S9" si="12">N8</f>
        <v>3</v>
      </c>
      <c r="P8" s="508">
        <f t="shared" si="12"/>
        <v>3</v>
      </c>
      <c r="Q8" s="508">
        <f t="shared" si="12"/>
        <v>3</v>
      </c>
      <c r="R8" s="508">
        <f t="shared" si="12"/>
        <v>3</v>
      </c>
      <c r="S8" s="508">
        <f t="shared" si="12"/>
        <v>3</v>
      </c>
      <c r="U8" s="125">
        <v>52</v>
      </c>
      <c r="V8" s="508">
        <v>38</v>
      </c>
      <c r="W8" s="125">
        <v>52</v>
      </c>
      <c r="X8" s="125">
        <v>52</v>
      </c>
      <c r="Y8" s="125">
        <v>52</v>
      </c>
      <c r="Z8" s="508">
        <f>Y8</f>
        <v>52</v>
      </c>
      <c r="AA8" s="508">
        <f t="shared" ref="AA8:AD9" si="13">Z8</f>
        <v>52</v>
      </c>
      <c r="AB8" s="508">
        <f t="shared" si="13"/>
        <v>52</v>
      </c>
      <c r="AC8" s="508">
        <f t="shared" si="13"/>
        <v>52</v>
      </c>
      <c r="AD8" s="508">
        <f t="shared" si="13"/>
        <v>52</v>
      </c>
      <c r="AF8" s="164">
        <v>1</v>
      </c>
      <c r="AG8" s="164">
        <v>1</v>
      </c>
      <c r="AH8" s="164">
        <v>1</v>
      </c>
      <c r="AI8" s="164">
        <v>1</v>
      </c>
      <c r="AJ8" s="164">
        <v>1</v>
      </c>
      <c r="AK8" s="509">
        <f>AJ8</f>
        <v>1</v>
      </c>
      <c r="AL8" s="509">
        <f t="shared" ref="AL8:AO23" si="14">AK8</f>
        <v>1</v>
      </c>
      <c r="AM8" s="509">
        <f t="shared" si="14"/>
        <v>1</v>
      </c>
      <c r="AN8" s="509">
        <f t="shared" si="14"/>
        <v>1</v>
      </c>
      <c r="AO8" s="509">
        <f t="shared" si="14"/>
        <v>1</v>
      </c>
      <c r="AQ8" s="125"/>
      <c r="AR8" s="508">
        <v>250</v>
      </c>
      <c r="AS8" s="508">
        <v>300</v>
      </c>
      <c r="AT8" s="508">
        <v>450</v>
      </c>
      <c r="AU8" s="508">
        <v>500</v>
      </c>
      <c r="AV8" s="508">
        <f t="shared" ref="AV8" si="15">AU8</f>
        <v>500</v>
      </c>
      <c r="AW8" s="510">
        <f>AV8</f>
        <v>500</v>
      </c>
      <c r="AX8" s="510">
        <f t="shared" ref="AX8:AZ9" si="16">AW8</f>
        <v>500</v>
      </c>
      <c r="AY8" s="510">
        <f t="shared" si="16"/>
        <v>500</v>
      </c>
      <c r="AZ8" s="510">
        <f t="shared" si="16"/>
        <v>500</v>
      </c>
      <c r="BB8" s="125">
        <v>12</v>
      </c>
      <c r="BC8" s="125">
        <v>12</v>
      </c>
      <c r="BD8" s="125">
        <v>12</v>
      </c>
      <c r="BE8" s="125">
        <v>12</v>
      </c>
      <c r="BF8" s="125">
        <v>12</v>
      </c>
      <c r="BG8" s="508">
        <f>BF8</f>
        <v>12</v>
      </c>
      <c r="BH8" s="508">
        <f t="shared" ref="BH8:BK14" si="17">BG8</f>
        <v>12</v>
      </c>
      <c r="BI8" s="508">
        <f t="shared" si="17"/>
        <v>12</v>
      </c>
      <c r="BJ8" s="508">
        <f t="shared" si="17"/>
        <v>12</v>
      </c>
      <c r="BK8" s="508">
        <f t="shared" si="17"/>
        <v>12</v>
      </c>
      <c r="BM8" s="125">
        <f>(J8*U8*AF8*AQ8*BB8)/1000</f>
        <v>0</v>
      </c>
      <c r="BN8" s="125">
        <f>(K8*V8*AG8*AR8*BC8)/1000</f>
        <v>173.60074791201029</v>
      </c>
      <c r="BO8" s="125">
        <f>(L8*W8*AH8*AS8*BD8)/1000</f>
        <v>378.67070183445901</v>
      </c>
      <c r="BP8" s="125">
        <f>(M8*X8*AI8*AT8*BE8)/1000</f>
        <v>842.4</v>
      </c>
      <c r="BQ8" s="125">
        <f>(N8*Y8*AJ8*AU8*BF8)/1000</f>
        <v>936</v>
      </c>
      <c r="BR8" s="125">
        <f t="shared" ref="BR8:BV23" si="18">(O8*Z8*AK8*AV8*BG8)/1000</f>
        <v>936</v>
      </c>
      <c r="BS8" s="125">
        <f t="shared" si="18"/>
        <v>936</v>
      </c>
      <c r="BT8" s="125">
        <f t="shared" si="18"/>
        <v>936</v>
      </c>
      <c r="BU8" s="125">
        <f t="shared" si="18"/>
        <v>936</v>
      </c>
      <c r="BV8" s="125">
        <f t="shared" si="18"/>
        <v>936</v>
      </c>
      <c r="BX8" s="511">
        <v>3.2515678347304915</v>
      </c>
      <c r="BY8" s="511">
        <v>3.2515678347304915</v>
      </c>
      <c r="BZ8" s="511">
        <v>3.2515678347304915</v>
      </c>
      <c r="CA8" s="511">
        <f t="shared" ref="CA8:CG9" si="19">BZ8*(1+$CB$4)</f>
        <v>3.3653727089460586</v>
      </c>
      <c r="CB8" s="511">
        <f t="shared" si="19"/>
        <v>3.4831607537591704</v>
      </c>
      <c r="CC8" s="511">
        <f>CB8*(1+$CB$4)</f>
        <v>3.6050713801407412</v>
      </c>
      <c r="CD8" s="511">
        <f t="shared" ref="CD8:CG8" si="20">CC8*(1+$CB$4)</f>
        <v>3.7312488784456668</v>
      </c>
      <c r="CE8" s="511">
        <f t="shared" si="20"/>
        <v>3.8618425891912649</v>
      </c>
      <c r="CF8" s="511">
        <f t="shared" si="20"/>
        <v>3.9970070798129589</v>
      </c>
      <c r="CG8" s="511">
        <f t="shared" si="20"/>
        <v>4.1369023276064123</v>
      </c>
      <c r="CI8" s="128">
        <f t="shared" ref="CI8:CR23" si="21">+BX8*BM8</f>
        <v>0</v>
      </c>
      <c r="CJ8" s="128">
        <f t="shared" si="21"/>
        <v>564.47460799584917</v>
      </c>
      <c r="CK8" s="128">
        <f t="shared" si="21"/>
        <v>1231.2734740397475</v>
      </c>
      <c r="CL8" s="128">
        <f t="shared" si="21"/>
        <v>2834.9899700161595</v>
      </c>
      <c r="CM8" s="128">
        <f t="shared" si="21"/>
        <v>3260.2384655185833</v>
      </c>
      <c r="CN8" s="128">
        <f t="shared" si="21"/>
        <v>3374.3468118117339</v>
      </c>
      <c r="CO8" s="128">
        <f t="shared" si="21"/>
        <v>3492.448950225144</v>
      </c>
      <c r="CP8" s="128">
        <f t="shared" si="21"/>
        <v>3614.684663483024</v>
      </c>
      <c r="CQ8" s="128">
        <f t="shared" si="21"/>
        <v>3741.1986267049297</v>
      </c>
      <c r="CR8" s="128">
        <f t="shared" si="21"/>
        <v>3872.1405786396017</v>
      </c>
      <c r="CT8" s="125">
        <f t="shared" ref="CT8:DC23" si="22">BM8 * $E8*$F8*$G8</f>
        <v>0</v>
      </c>
      <c r="CU8" s="125">
        <f t="shared" si="22"/>
        <v>0.87182295601411586</v>
      </c>
      <c r="CV8" s="125">
        <f t="shared" si="22"/>
        <v>1.9016842646126535</v>
      </c>
      <c r="CW8" s="125">
        <f t="shared" si="22"/>
        <v>4.2305328000000006</v>
      </c>
      <c r="CX8" s="125">
        <f t="shared" si="22"/>
        <v>4.7005920000000003</v>
      </c>
      <c r="CY8" s="125">
        <f t="shared" si="22"/>
        <v>4.7005920000000003</v>
      </c>
      <c r="CZ8" s="125">
        <f t="shared" si="22"/>
        <v>4.7005920000000003</v>
      </c>
      <c r="DA8" s="125">
        <f t="shared" si="22"/>
        <v>4.7005920000000003</v>
      </c>
      <c r="DB8" s="125">
        <f t="shared" si="22"/>
        <v>4.7005920000000003</v>
      </c>
      <c r="DC8" s="125">
        <f t="shared" si="22"/>
        <v>4.7005920000000003</v>
      </c>
      <c r="DE8" s="127">
        <f t="shared" ref="DE8:DN33" si="23">IFERROR(CT8/CT$48, 0)</f>
        <v>0</v>
      </c>
      <c r="DF8" s="127">
        <f t="shared" si="23"/>
        <v>7.6813242990186312E-2</v>
      </c>
      <c r="DG8" s="127">
        <f t="shared" si="23"/>
        <v>6.8506504722365427E-2</v>
      </c>
      <c r="DH8" s="127">
        <f t="shared" si="23"/>
        <v>4.2137392624138341E-2</v>
      </c>
      <c r="DI8" s="127">
        <f t="shared" si="23"/>
        <v>2.3378342167884255E-2</v>
      </c>
      <c r="DJ8" s="127">
        <f t="shared" si="23"/>
        <v>1.0152503561993341E-2</v>
      </c>
      <c r="DK8" s="127">
        <f t="shared" si="23"/>
        <v>9.6133384776583772E-3</v>
      </c>
      <c r="DL8" s="127">
        <f t="shared" si="23"/>
        <v>9.1000999072471597E-3</v>
      </c>
      <c r="DM8" s="127">
        <f t="shared" si="23"/>
        <v>8.6118246175855076E-3</v>
      </c>
      <c r="DN8" s="127">
        <f t="shared" si="23"/>
        <v>8.1475548586135479E-3</v>
      </c>
      <c r="DP8" s="127">
        <v>0.24</v>
      </c>
      <c r="DQ8" s="512">
        <v>-6.500000000000148E-3</v>
      </c>
      <c r="DR8" s="512">
        <v>0.05</v>
      </c>
      <c r="DS8" s="506">
        <f>DR8+5%</f>
        <v>0.1</v>
      </c>
      <c r="DT8" s="506">
        <f>DS8+5%</f>
        <v>0.15000000000000002</v>
      </c>
      <c r="DU8" s="506">
        <v>0.22</v>
      </c>
      <c r="DV8" s="506">
        <v>0.25</v>
      </c>
      <c r="DW8" s="506">
        <f t="shared" ref="DW8:DY23" si="24">DV8</f>
        <v>0.25</v>
      </c>
      <c r="DX8" s="506">
        <f t="shared" si="24"/>
        <v>0.25</v>
      </c>
      <c r="DY8" s="506">
        <f t="shared" si="24"/>
        <v>0.25</v>
      </c>
      <c r="EA8" s="128">
        <f>CI8*(1-DP8)</f>
        <v>0</v>
      </c>
      <c r="EB8" s="128">
        <f t="shared" ref="EB8:EJ36" si="25">CJ8*(1-DQ8)</f>
        <v>568.14369294782227</v>
      </c>
      <c r="EC8" s="128">
        <f t="shared" si="25"/>
        <v>1169.70980033776</v>
      </c>
      <c r="ED8" s="128">
        <f t="shared" si="25"/>
        <v>2551.4909730145437</v>
      </c>
      <c r="EE8" s="128">
        <f t="shared" si="25"/>
        <v>2771.2026956907957</v>
      </c>
      <c r="EF8" s="128">
        <f t="shared" si="25"/>
        <v>2631.9905132131526</v>
      </c>
      <c r="EG8" s="128">
        <f t="shared" si="25"/>
        <v>2619.3367126688581</v>
      </c>
      <c r="EH8" s="128">
        <f t="shared" si="25"/>
        <v>2711.0134976122681</v>
      </c>
      <c r="EI8" s="128">
        <f t="shared" si="25"/>
        <v>2805.8989700286975</v>
      </c>
      <c r="EJ8" s="128">
        <f t="shared" si="25"/>
        <v>2904.105433979701</v>
      </c>
    </row>
    <row r="9" spans="1:141" ht="15.75">
      <c r="B9" s="124" t="s">
        <v>175</v>
      </c>
      <c r="C9" s="124" t="s">
        <v>429</v>
      </c>
      <c r="D9" s="124" t="s">
        <v>436</v>
      </c>
      <c r="E9" s="151">
        <v>0.02</v>
      </c>
      <c r="F9" s="170">
        <v>0.25110000000000005</v>
      </c>
      <c r="G9" s="151">
        <v>1</v>
      </c>
      <c r="H9" s="124" t="s">
        <v>431</v>
      </c>
      <c r="J9" s="508"/>
      <c r="K9" s="508">
        <v>4</v>
      </c>
      <c r="L9" s="508">
        <f>K9+0.5</f>
        <v>4.5</v>
      </c>
      <c r="M9" s="508">
        <f>L9+1</f>
        <v>5.5</v>
      </c>
      <c r="N9" s="508">
        <f>M9+1</f>
        <v>6.5</v>
      </c>
      <c r="O9" s="508">
        <f>N9</f>
        <v>6.5</v>
      </c>
      <c r="P9" s="508">
        <f t="shared" si="12"/>
        <v>6.5</v>
      </c>
      <c r="Q9" s="508">
        <f t="shared" si="12"/>
        <v>6.5</v>
      </c>
      <c r="R9" s="508">
        <f t="shared" si="12"/>
        <v>6.5</v>
      </c>
      <c r="S9" s="508">
        <f t="shared" si="12"/>
        <v>6.5</v>
      </c>
      <c r="U9" s="125"/>
      <c r="V9" s="508">
        <v>38</v>
      </c>
      <c r="W9" s="125">
        <v>52</v>
      </c>
      <c r="X9" s="125">
        <v>52</v>
      </c>
      <c r="Y9" s="125">
        <v>52</v>
      </c>
      <c r="Z9" s="508">
        <f t="shared" ref="Z9:AC9" si="26">Y9</f>
        <v>52</v>
      </c>
      <c r="AA9" s="508">
        <f t="shared" si="26"/>
        <v>52</v>
      </c>
      <c r="AB9" s="508">
        <f t="shared" si="26"/>
        <v>52</v>
      </c>
      <c r="AC9" s="508">
        <f t="shared" si="26"/>
        <v>52</v>
      </c>
      <c r="AD9" s="508">
        <f t="shared" si="13"/>
        <v>52</v>
      </c>
      <c r="AF9" s="164">
        <v>1</v>
      </c>
      <c r="AG9" s="164">
        <v>1</v>
      </c>
      <c r="AH9" s="164">
        <v>1</v>
      </c>
      <c r="AI9" s="164">
        <v>1</v>
      </c>
      <c r="AJ9" s="164">
        <v>1</v>
      </c>
      <c r="AK9" s="509">
        <f t="shared" ref="AK9:AO24" si="27">AJ9</f>
        <v>1</v>
      </c>
      <c r="AL9" s="509">
        <f t="shared" si="27"/>
        <v>1</v>
      </c>
      <c r="AM9" s="509">
        <f t="shared" si="27"/>
        <v>1</v>
      </c>
      <c r="AN9" s="509">
        <f t="shared" si="27"/>
        <v>1</v>
      </c>
      <c r="AO9" s="509">
        <f t="shared" si="14"/>
        <v>1</v>
      </c>
      <c r="AQ9" s="125"/>
      <c r="AR9" s="508">
        <f>AR8</f>
        <v>250</v>
      </c>
      <c r="AS9" s="508">
        <f t="shared" ref="AS9:AV9" si="28">AS8</f>
        <v>300</v>
      </c>
      <c r="AT9" s="508">
        <f t="shared" si="28"/>
        <v>450</v>
      </c>
      <c r="AU9" s="508">
        <f t="shared" si="28"/>
        <v>500</v>
      </c>
      <c r="AV9" s="508">
        <f t="shared" si="28"/>
        <v>500</v>
      </c>
      <c r="AW9" s="510">
        <f>AV9</f>
        <v>500</v>
      </c>
      <c r="AX9" s="510">
        <f t="shared" si="16"/>
        <v>500</v>
      </c>
      <c r="AY9" s="510">
        <f t="shared" si="16"/>
        <v>500</v>
      </c>
      <c r="AZ9" s="510">
        <f t="shared" si="16"/>
        <v>500</v>
      </c>
      <c r="BB9" s="125"/>
      <c r="BC9" s="510">
        <v>12</v>
      </c>
      <c r="BD9" s="510">
        <f>BC9</f>
        <v>12</v>
      </c>
      <c r="BE9" s="510">
        <f t="shared" ref="BE9:BJ11" si="29">BD9</f>
        <v>12</v>
      </c>
      <c r="BF9" s="510">
        <f t="shared" si="29"/>
        <v>12</v>
      </c>
      <c r="BG9" s="510">
        <f t="shared" si="29"/>
        <v>12</v>
      </c>
      <c r="BH9" s="510">
        <f t="shared" si="29"/>
        <v>12</v>
      </c>
      <c r="BI9" s="510">
        <f t="shared" si="29"/>
        <v>12</v>
      </c>
      <c r="BJ9" s="510">
        <f t="shared" si="29"/>
        <v>12</v>
      </c>
      <c r="BK9" s="510">
        <f t="shared" si="17"/>
        <v>12</v>
      </c>
      <c r="BM9" s="125">
        <f t="shared" ref="BM9:BV35" si="30">(J9*U9*AF9*AQ9*BB9)/1000</f>
        <v>0</v>
      </c>
      <c r="BN9" s="125">
        <f t="shared" si="30"/>
        <v>456</v>
      </c>
      <c r="BO9" s="125">
        <f t="shared" si="30"/>
        <v>842.4</v>
      </c>
      <c r="BP9" s="125">
        <f t="shared" si="30"/>
        <v>1544.4</v>
      </c>
      <c r="BQ9" s="125">
        <f t="shared" si="30"/>
        <v>2028</v>
      </c>
      <c r="BR9" s="125">
        <f t="shared" si="18"/>
        <v>2028</v>
      </c>
      <c r="BS9" s="125">
        <f t="shared" si="18"/>
        <v>2028</v>
      </c>
      <c r="BT9" s="125">
        <f t="shared" si="18"/>
        <v>2028</v>
      </c>
      <c r="BU9" s="125">
        <f t="shared" si="18"/>
        <v>2028</v>
      </c>
      <c r="BV9" s="125">
        <f t="shared" si="18"/>
        <v>2028</v>
      </c>
      <c r="BX9" s="511">
        <v>1.0346604916179261</v>
      </c>
      <c r="BY9" s="511">
        <v>1.0346604916179261</v>
      </c>
      <c r="BZ9" s="511">
        <v>1.0346604916179261</v>
      </c>
      <c r="CA9" s="511">
        <f t="shared" si="19"/>
        <v>1.0708736088245534</v>
      </c>
      <c r="CB9" s="511">
        <f t="shared" si="19"/>
        <v>1.1083541851334127</v>
      </c>
      <c r="CC9" s="511">
        <f t="shared" si="19"/>
        <v>1.1471465816130819</v>
      </c>
      <c r="CD9" s="511">
        <f t="shared" si="19"/>
        <v>1.1872967119695397</v>
      </c>
      <c r="CE9" s="511">
        <f t="shared" si="19"/>
        <v>1.2288520968884735</v>
      </c>
      <c r="CF9" s="511">
        <f t="shared" si="19"/>
        <v>1.27186192027957</v>
      </c>
      <c r="CG9" s="511">
        <f t="shared" si="19"/>
        <v>1.3163770874893548</v>
      </c>
      <c r="CI9" s="128">
        <f t="shared" si="21"/>
        <v>0</v>
      </c>
      <c r="CJ9" s="128">
        <f t="shared" si="21"/>
        <v>471.80518417777427</v>
      </c>
      <c r="CK9" s="128">
        <f t="shared" si="21"/>
        <v>871.59799813894085</v>
      </c>
      <c r="CL9" s="128">
        <f t="shared" si="21"/>
        <v>1653.8572014686404</v>
      </c>
      <c r="CM9" s="128">
        <f t="shared" si="21"/>
        <v>2247.742287450561</v>
      </c>
      <c r="CN9" s="128">
        <f t="shared" si="21"/>
        <v>2326.4132675113301</v>
      </c>
      <c r="CO9" s="128">
        <f t="shared" si="21"/>
        <v>2407.8377318742264</v>
      </c>
      <c r="CP9" s="128">
        <f t="shared" si="21"/>
        <v>2492.1120524898242</v>
      </c>
      <c r="CQ9" s="128">
        <f t="shared" si="21"/>
        <v>2579.335974326968</v>
      </c>
      <c r="CR9" s="128">
        <f t="shared" si="21"/>
        <v>2669.6127334284115</v>
      </c>
      <c r="CT9" s="125">
        <f t="shared" si="22"/>
        <v>0</v>
      </c>
      <c r="CU9" s="125">
        <f t="shared" si="22"/>
        <v>2.2900320000000005</v>
      </c>
      <c r="CV9" s="125">
        <f t="shared" si="22"/>
        <v>4.2305328000000006</v>
      </c>
      <c r="CW9" s="125">
        <f t="shared" si="22"/>
        <v>7.7559768000000018</v>
      </c>
      <c r="CX9" s="125">
        <f t="shared" si="22"/>
        <v>10.184616000000002</v>
      </c>
      <c r="CY9" s="125">
        <f t="shared" si="22"/>
        <v>10.184616000000002</v>
      </c>
      <c r="CZ9" s="125">
        <f t="shared" si="22"/>
        <v>10.184616000000002</v>
      </c>
      <c r="DA9" s="125">
        <f t="shared" si="22"/>
        <v>10.184616000000002</v>
      </c>
      <c r="DB9" s="125">
        <f t="shared" si="22"/>
        <v>10.184616000000002</v>
      </c>
      <c r="DC9" s="125">
        <f t="shared" si="22"/>
        <v>10.184616000000002</v>
      </c>
      <c r="DE9" s="127">
        <f t="shared" si="23"/>
        <v>0</v>
      </c>
      <c r="DF9" s="127">
        <f t="shared" si="23"/>
        <v>0.20176663536771366</v>
      </c>
      <c r="DG9" s="127">
        <f t="shared" si="23"/>
        <v>0.15240122697253003</v>
      </c>
      <c r="DH9" s="127">
        <f t="shared" si="23"/>
        <v>7.7251886477586962E-2</v>
      </c>
      <c r="DI9" s="127">
        <f t="shared" si="23"/>
        <v>5.0653074697082558E-2</v>
      </c>
      <c r="DJ9" s="127">
        <f t="shared" si="23"/>
        <v>2.1997091050985573E-2</v>
      </c>
      <c r="DK9" s="127">
        <f t="shared" si="23"/>
        <v>2.0828900034926486E-2</v>
      </c>
      <c r="DL9" s="127">
        <f t="shared" si="23"/>
        <v>1.971688313236885E-2</v>
      </c>
      <c r="DM9" s="127">
        <f t="shared" si="23"/>
        <v>1.8658953338101934E-2</v>
      </c>
      <c r="DN9" s="127">
        <f t="shared" si="23"/>
        <v>1.7653035526996024E-2</v>
      </c>
      <c r="DP9" s="127">
        <v>0.24</v>
      </c>
      <c r="DQ9" s="512">
        <f>DQ8</f>
        <v>-6.500000000000148E-3</v>
      </c>
      <c r="DR9" s="506">
        <f>DR8</f>
        <v>0.05</v>
      </c>
      <c r="DS9" s="506">
        <f t="shared" ref="DS9:DT24" si="31">DR9+5%</f>
        <v>0.1</v>
      </c>
      <c r="DT9" s="506">
        <f t="shared" si="31"/>
        <v>0.15000000000000002</v>
      </c>
      <c r="DU9" s="506">
        <f>DU8</f>
        <v>0.22</v>
      </c>
      <c r="DV9" s="506">
        <f>DV8</f>
        <v>0.25</v>
      </c>
      <c r="DW9" s="506">
        <f t="shared" si="24"/>
        <v>0.25</v>
      </c>
      <c r="DX9" s="506">
        <f t="shared" si="24"/>
        <v>0.25</v>
      </c>
      <c r="DY9" s="506">
        <f t="shared" si="24"/>
        <v>0.25</v>
      </c>
      <c r="EA9" s="128">
        <f t="shared" ref="EA9:ED47" si="32">CI9*(1-DP9)</f>
        <v>0</v>
      </c>
      <c r="EB9" s="128">
        <f t="shared" si="25"/>
        <v>474.87191787492986</v>
      </c>
      <c r="EC9" s="128">
        <f t="shared" si="25"/>
        <v>828.0180982319938</v>
      </c>
      <c r="ED9" s="128">
        <f t="shared" si="25"/>
        <v>1488.4714813217763</v>
      </c>
      <c r="EE9" s="128">
        <f t="shared" si="25"/>
        <v>1910.5809443329767</v>
      </c>
      <c r="EF9" s="128">
        <f t="shared" si="25"/>
        <v>1814.6023486588376</v>
      </c>
      <c r="EG9" s="128">
        <f t="shared" si="25"/>
        <v>1805.8782989056699</v>
      </c>
      <c r="EH9" s="128">
        <f t="shared" si="25"/>
        <v>1869.0840393673682</v>
      </c>
      <c r="EI9" s="128">
        <f t="shared" si="25"/>
        <v>1934.5019807452259</v>
      </c>
      <c r="EJ9" s="128">
        <f t="shared" si="25"/>
        <v>2002.2095500713085</v>
      </c>
    </row>
    <row r="10" spans="1:141" ht="15.75">
      <c r="B10" s="124" t="s">
        <v>175</v>
      </c>
      <c r="C10" s="124" t="s">
        <v>429</v>
      </c>
      <c r="D10" s="124" t="s">
        <v>122</v>
      </c>
      <c r="E10" s="151">
        <v>0.18</v>
      </c>
      <c r="F10" s="170">
        <v>0.5</v>
      </c>
      <c r="G10" s="151">
        <v>1</v>
      </c>
      <c r="H10" s="124" t="s">
        <v>432</v>
      </c>
      <c r="J10" s="125"/>
      <c r="K10" s="125"/>
      <c r="L10" s="125"/>
      <c r="M10" s="125"/>
      <c r="N10" s="125"/>
      <c r="O10" s="125"/>
      <c r="P10" s="125"/>
      <c r="Q10" s="125"/>
      <c r="R10" s="125"/>
      <c r="S10" s="125"/>
      <c r="U10" s="125"/>
      <c r="V10" s="125"/>
      <c r="W10" s="125"/>
      <c r="X10" s="125"/>
      <c r="Y10" s="125"/>
      <c r="Z10" s="508"/>
      <c r="AA10" s="508"/>
      <c r="AB10" s="508"/>
      <c r="AC10" s="508"/>
      <c r="AD10" s="508"/>
      <c r="AF10" s="164">
        <v>1</v>
      </c>
      <c r="AG10" s="164">
        <v>1</v>
      </c>
      <c r="AH10" s="164">
        <v>1</v>
      </c>
      <c r="AI10" s="164">
        <v>1</v>
      </c>
      <c r="AJ10" s="164">
        <v>1</v>
      </c>
      <c r="AK10" s="509">
        <f t="shared" si="27"/>
        <v>1</v>
      </c>
      <c r="AL10" s="509">
        <f t="shared" si="27"/>
        <v>1</v>
      </c>
      <c r="AM10" s="509">
        <f t="shared" si="27"/>
        <v>1</v>
      </c>
      <c r="AN10" s="509">
        <f t="shared" si="27"/>
        <v>1</v>
      </c>
      <c r="AO10" s="509">
        <f t="shared" si="14"/>
        <v>1</v>
      </c>
      <c r="AQ10" s="125"/>
      <c r="AR10" s="125"/>
      <c r="AS10" s="125"/>
      <c r="AT10" s="125"/>
      <c r="AU10" s="125"/>
      <c r="AV10" s="125"/>
      <c r="AW10" s="510">
        <f t="shared" ref="AW10:AZ10" si="33">AV10*(1+$AW$6)</f>
        <v>0</v>
      </c>
      <c r="AX10" s="510">
        <f t="shared" si="33"/>
        <v>0</v>
      </c>
      <c r="AY10" s="510">
        <f t="shared" si="33"/>
        <v>0</v>
      </c>
      <c r="AZ10" s="510">
        <f t="shared" si="33"/>
        <v>0</v>
      </c>
      <c r="BB10" s="125"/>
      <c r="BC10" s="125"/>
      <c r="BD10" s="125"/>
      <c r="BE10" s="125"/>
      <c r="BF10" s="125"/>
      <c r="BG10" s="508">
        <f t="shared" si="29"/>
        <v>0</v>
      </c>
      <c r="BH10" s="508">
        <f t="shared" si="29"/>
        <v>0</v>
      </c>
      <c r="BI10" s="508">
        <f t="shared" si="29"/>
        <v>0</v>
      </c>
      <c r="BJ10" s="508">
        <f t="shared" si="29"/>
        <v>0</v>
      </c>
      <c r="BK10" s="508">
        <f t="shared" si="17"/>
        <v>0</v>
      </c>
      <c r="BM10" s="125">
        <f t="shared" si="30"/>
        <v>0</v>
      </c>
      <c r="BN10" s="125">
        <f t="shared" si="30"/>
        <v>0</v>
      </c>
      <c r="BO10" s="125">
        <f t="shared" si="30"/>
        <v>0</v>
      </c>
      <c r="BP10" s="125">
        <f t="shared" si="30"/>
        <v>0</v>
      </c>
      <c r="BQ10" s="125">
        <f t="shared" si="30"/>
        <v>0</v>
      </c>
      <c r="BR10" s="125">
        <f t="shared" si="18"/>
        <v>0</v>
      </c>
      <c r="BS10" s="125">
        <f t="shared" si="18"/>
        <v>0</v>
      </c>
      <c r="BT10" s="125">
        <f t="shared" si="18"/>
        <v>0</v>
      </c>
      <c r="BU10" s="125">
        <f t="shared" si="18"/>
        <v>0</v>
      </c>
      <c r="BV10" s="125">
        <f t="shared" si="18"/>
        <v>0</v>
      </c>
      <c r="BX10" s="159"/>
      <c r="BY10" s="159"/>
      <c r="BZ10" s="159"/>
      <c r="CA10" s="511"/>
      <c r="CB10" s="511"/>
      <c r="CC10" s="511"/>
      <c r="CD10" s="511"/>
      <c r="CE10" s="511"/>
      <c r="CF10" s="511"/>
      <c r="CG10" s="511"/>
      <c r="CI10" s="128">
        <f t="shared" si="21"/>
        <v>0</v>
      </c>
      <c r="CJ10" s="128">
        <f t="shared" si="21"/>
        <v>0</v>
      </c>
      <c r="CK10" s="128">
        <f t="shared" si="21"/>
        <v>0</v>
      </c>
      <c r="CL10" s="128">
        <f t="shared" si="21"/>
        <v>0</v>
      </c>
      <c r="CM10" s="128">
        <f t="shared" si="21"/>
        <v>0</v>
      </c>
      <c r="CN10" s="128">
        <f t="shared" si="21"/>
        <v>0</v>
      </c>
      <c r="CO10" s="128">
        <f t="shared" si="21"/>
        <v>0</v>
      </c>
      <c r="CP10" s="128">
        <f t="shared" si="21"/>
        <v>0</v>
      </c>
      <c r="CQ10" s="128">
        <f t="shared" si="21"/>
        <v>0</v>
      </c>
      <c r="CR10" s="128">
        <f t="shared" si="21"/>
        <v>0</v>
      </c>
      <c r="CT10" s="125">
        <f t="shared" si="22"/>
        <v>0</v>
      </c>
      <c r="CU10" s="125">
        <f t="shared" si="22"/>
        <v>0</v>
      </c>
      <c r="CV10" s="125">
        <f t="shared" si="22"/>
        <v>0</v>
      </c>
      <c r="CW10" s="125">
        <f t="shared" si="22"/>
        <v>0</v>
      </c>
      <c r="CX10" s="125">
        <f t="shared" si="22"/>
        <v>0</v>
      </c>
      <c r="CY10" s="125">
        <f t="shared" si="22"/>
        <v>0</v>
      </c>
      <c r="CZ10" s="125">
        <f t="shared" si="22"/>
        <v>0</v>
      </c>
      <c r="DA10" s="125">
        <f t="shared" si="22"/>
        <v>0</v>
      </c>
      <c r="DB10" s="125">
        <f t="shared" si="22"/>
        <v>0</v>
      </c>
      <c r="DC10" s="125">
        <f t="shared" si="22"/>
        <v>0</v>
      </c>
      <c r="DE10" s="127">
        <f t="shared" si="23"/>
        <v>0</v>
      </c>
      <c r="DF10" s="127">
        <f t="shared" si="23"/>
        <v>0</v>
      </c>
      <c r="DG10" s="127">
        <f t="shared" si="23"/>
        <v>0</v>
      </c>
      <c r="DH10" s="127">
        <f t="shared" si="23"/>
        <v>0</v>
      </c>
      <c r="DI10" s="127">
        <f t="shared" si="23"/>
        <v>0</v>
      </c>
      <c r="DJ10" s="127">
        <f t="shared" si="23"/>
        <v>0</v>
      </c>
      <c r="DK10" s="127">
        <f t="shared" si="23"/>
        <v>0</v>
      </c>
      <c r="DL10" s="127">
        <f t="shared" si="23"/>
        <v>0</v>
      </c>
      <c r="DM10" s="127">
        <f t="shared" si="23"/>
        <v>0</v>
      </c>
      <c r="DN10" s="127">
        <f t="shared" si="23"/>
        <v>0</v>
      </c>
      <c r="DP10" s="127">
        <v>0.24</v>
      </c>
      <c r="DQ10" s="512">
        <f t="shared" ref="DQ10:DR25" si="34">DQ9</f>
        <v>-6.500000000000148E-3</v>
      </c>
      <c r="DR10" s="506">
        <f t="shared" si="34"/>
        <v>0.05</v>
      </c>
      <c r="DS10" s="506">
        <f t="shared" si="31"/>
        <v>0.1</v>
      </c>
      <c r="DT10" s="506">
        <f t="shared" si="31"/>
        <v>0.15000000000000002</v>
      </c>
      <c r="DU10" s="506">
        <f t="shared" ref="DU10:DV25" si="35">DU9</f>
        <v>0.22</v>
      </c>
      <c r="DV10" s="506">
        <f t="shared" si="35"/>
        <v>0.25</v>
      </c>
      <c r="DW10" s="506">
        <f t="shared" si="24"/>
        <v>0.25</v>
      </c>
      <c r="DX10" s="506">
        <f t="shared" si="24"/>
        <v>0.25</v>
      </c>
      <c r="DY10" s="506">
        <f t="shared" si="24"/>
        <v>0.25</v>
      </c>
      <c r="EA10" s="128">
        <f t="shared" si="32"/>
        <v>0</v>
      </c>
      <c r="EB10" s="128">
        <f t="shared" si="25"/>
        <v>0</v>
      </c>
      <c r="EC10" s="128">
        <f t="shared" si="25"/>
        <v>0</v>
      </c>
      <c r="ED10" s="128">
        <f t="shared" si="25"/>
        <v>0</v>
      </c>
      <c r="EE10" s="128">
        <f t="shared" si="25"/>
        <v>0</v>
      </c>
      <c r="EF10" s="128">
        <f t="shared" si="25"/>
        <v>0</v>
      </c>
      <c r="EG10" s="128">
        <f t="shared" si="25"/>
        <v>0</v>
      </c>
      <c r="EH10" s="128">
        <f t="shared" si="25"/>
        <v>0</v>
      </c>
      <c r="EI10" s="128">
        <f t="shared" si="25"/>
        <v>0</v>
      </c>
      <c r="EJ10" s="128">
        <f t="shared" si="25"/>
        <v>0</v>
      </c>
    </row>
    <row r="11" spans="1:141" ht="15.75">
      <c r="B11" s="124" t="s">
        <v>175</v>
      </c>
      <c r="C11" s="124" t="s">
        <v>429</v>
      </c>
      <c r="D11" s="19" t="s">
        <v>433</v>
      </c>
      <c r="E11" s="151">
        <v>0.02</v>
      </c>
      <c r="F11" s="170">
        <v>1</v>
      </c>
      <c r="G11" s="151">
        <v>1</v>
      </c>
      <c r="H11" s="124" t="s">
        <v>177</v>
      </c>
      <c r="J11" s="508">
        <v>3.600280997541272</v>
      </c>
      <c r="K11" s="508">
        <v>6</v>
      </c>
      <c r="L11" s="508">
        <v>8</v>
      </c>
      <c r="M11" s="508">
        <v>8</v>
      </c>
      <c r="N11" s="508">
        <v>8</v>
      </c>
      <c r="O11" s="508">
        <f>N11</f>
        <v>8</v>
      </c>
      <c r="P11" s="508">
        <f t="shared" ref="P11:S12" si="36">O11</f>
        <v>8</v>
      </c>
      <c r="Q11" s="508">
        <f t="shared" si="36"/>
        <v>8</v>
      </c>
      <c r="R11" s="508">
        <f t="shared" si="36"/>
        <v>8</v>
      </c>
      <c r="S11" s="508">
        <f t="shared" si="36"/>
        <v>8</v>
      </c>
      <c r="U11" s="152">
        <v>12</v>
      </c>
      <c r="V11" s="508">
        <v>10</v>
      </c>
      <c r="W11" s="152">
        <v>52</v>
      </c>
      <c r="X11" s="125">
        <v>52</v>
      </c>
      <c r="Y11" s="125">
        <v>52</v>
      </c>
      <c r="Z11" s="508">
        <f t="shared" ref="Z11:AD12" si="37">Y11</f>
        <v>52</v>
      </c>
      <c r="AA11" s="508">
        <f t="shared" si="37"/>
        <v>52</v>
      </c>
      <c r="AB11" s="508">
        <f t="shared" si="37"/>
        <v>52</v>
      </c>
      <c r="AC11" s="508">
        <f t="shared" si="37"/>
        <v>52</v>
      </c>
      <c r="AD11" s="508">
        <f t="shared" si="37"/>
        <v>52</v>
      </c>
      <c r="AF11" s="165">
        <v>1</v>
      </c>
      <c r="AG11" s="165">
        <v>1</v>
      </c>
      <c r="AH11" s="165">
        <v>1</v>
      </c>
      <c r="AI11" s="165">
        <v>1</v>
      </c>
      <c r="AJ11" s="165">
        <v>1</v>
      </c>
      <c r="AK11" s="509">
        <f t="shared" si="27"/>
        <v>1</v>
      </c>
      <c r="AL11" s="509">
        <f t="shared" si="27"/>
        <v>1</v>
      </c>
      <c r="AM11" s="509">
        <f t="shared" si="27"/>
        <v>1</v>
      </c>
      <c r="AN11" s="509">
        <f t="shared" si="27"/>
        <v>1</v>
      </c>
      <c r="AO11" s="509">
        <f t="shared" si="14"/>
        <v>1</v>
      </c>
      <c r="AQ11" s="152"/>
      <c r="AR11" s="152"/>
      <c r="AS11" s="152">
        <v>250</v>
      </c>
      <c r="AT11" s="510">
        <f>AT9</f>
        <v>450</v>
      </c>
      <c r="AU11" s="510">
        <f t="shared" ref="AU11:AV11" si="38">AU9</f>
        <v>500</v>
      </c>
      <c r="AV11" s="510">
        <f t="shared" si="38"/>
        <v>500</v>
      </c>
      <c r="AW11" s="510">
        <f>AV11</f>
        <v>500</v>
      </c>
      <c r="AX11" s="510">
        <f t="shared" ref="AX11:AZ12" si="39">AW11</f>
        <v>500</v>
      </c>
      <c r="AY11" s="510">
        <f t="shared" si="39"/>
        <v>500</v>
      </c>
      <c r="AZ11" s="510">
        <f t="shared" si="39"/>
        <v>500</v>
      </c>
      <c r="BB11" s="152">
        <v>1</v>
      </c>
      <c r="BC11" s="152">
        <v>2</v>
      </c>
      <c r="BD11" s="152">
        <v>3</v>
      </c>
      <c r="BE11" s="152">
        <v>3</v>
      </c>
      <c r="BF11" s="152">
        <v>3</v>
      </c>
      <c r="BG11" s="508">
        <f t="shared" si="29"/>
        <v>3</v>
      </c>
      <c r="BH11" s="508">
        <f t="shared" si="29"/>
        <v>3</v>
      </c>
      <c r="BI11" s="508">
        <f t="shared" si="29"/>
        <v>3</v>
      </c>
      <c r="BJ11" s="508">
        <f t="shared" si="29"/>
        <v>3</v>
      </c>
      <c r="BK11" s="508">
        <f t="shared" si="17"/>
        <v>3</v>
      </c>
      <c r="BM11" s="125">
        <f t="shared" si="30"/>
        <v>0</v>
      </c>
      <c r="BN11" s="125">
        <f t="shared" si="30"/>
        <v>0</v>
      </c>
      <c r="BO11" s="125">
        <f t="shared" si="30"/>
        <v>312</v>
      </c>
      <c r="BP11" s="125">
        <f t="shared" si="30"/>
        <v>561.6</v>
      </c>
      <c r="BQ11" s="125">
        <f t="shared" si="30"/>
        <v>624</v>
      </c>
      <c r="BR11" s="125">
        <f t="shared" si="18"/>
        <v>624</v>
      </c>
      <c r="BS11" s="125">
        <f t="shared" si="18"/>
        <v>624</v>
      </c>
      <c r="BT11" s="125">
        <f t="shared" si="18"/>
        <v>624</v>
      </c>
      <c r="BU11" s="125">
        <f t="shared" si="18"/>
        <v>624</v>
      </c>
      <c r="BV11" s="125">
        <f t="shared" si="18"/>
        <v>624</v>
      </c>
      <c r="BX11" s="160">
        <v>1.63</v>
      </c>
      <c r="BY11" s="159">
        <v>1.63</v>
      </c>
      <c r="BZ11" s="159">
        <v>1.63</v>
      </c>
      <c r="CA11" s="511">
        <f t="shared" ref="CA11:CG12" si="40">BZ11*(1+$CB$4)</f>
        <v>1.6870499999999997</v>
      </c>
      <c r="CB11" s="511">
        <f t="shared" si="40"/>
        <v>1.7460967499999995</v>
      </c>
      <c r="CC11" s="511">
        <f t="shared" si="40"/>
        <v>1.8072101362499993</v>
      </c>
      <c r="CD11" s="511">
        <f t="shared" si="40"/>
        <v>1.8704624910187491</v>
      </c>
      <c r="CE11" s="511">
        <f t="shared" si="40"/>
        <v>1.9359286782044052</v>
      </c>
      <c r="CF11" s="511">
        <f t="shared" si="40"/>
        <v>2.0036861819415592</v>
      </c>
      <c r="CG11" s="511">
        <f t="shared" si="40"/>
        <v>2.0738151983095134</v>
      </c>
      <c r="CI11" s="128">
        <f t="shared" si="21"/>
        <v>0</v>
      </c>
      <c r="CJ11" s="128">
        <f t="shared" si="21"/>
        <v>0</v>
      </c>
      <c r="CK11" s="128">
        <f t="shared" si="21"/>
        <v>508.55999999999995</v>
      </c>
      <c r="CL11" s="128">
        <f t="shared" si="21"/>
        <v>947.44727999999986</v>
      </c>
      <c r="CM11" s="128">
        <f t="shared" si="21"/>
        <v>1089.5643719999998</v>
      </c>
      <c r="CN11" s="128">
        <f t="shared" si="21"/>
        <v>1127.6991250199994</v>
      </c>
      <c r="CO11" s="128">
        <f t="shared" si="21"/>
        <v>1167.1685943956995</v>
      </c>
      <c r="CP11" s="128">
        <f t="shared" si="21"/>
        <v>1208.0194951995488</v>
      </c>
      <c r="CQ11" s="128">
        <f t="shared" si="21"/>
        <v>1250.3001775315329</v>
      </c>
      <c r="CR11" s="128">
        <f t="shared" si="21"/>
        <v>1294.0606837451364</v>
      </c>
      <c r="CT11" s="125">
        <f t="shared" si="22"/>
        <v>0</v>
      </c>
      <c r="CU11" s="125">
        <f t="shared" si="22"/>
        <v>0</v>
      </c>
      <c r="CV11" s="125">
        <f t="shared" si="22"/>
        <v>6.24</v>
      </c>
      <c r="CW11" s="125">
        <f t="shared" si="22"/>
        <v>11.232000000000001</v>
      </c>
      <c r="CX11" s="125">
        <f t="shared" si="22"/>
        <v>12.48</v>
      </c>
      <c r="CY11" s="125">
        <f t="shared" si="22"/>
        <v>12.48</v>
      </c>
      <c r="CZ11" s="125">
        <f t="shared" si="22"/>
        <v>12.48</v>
      </c>
      <c r="DA11" s="125">
        <f t="shared" si="22"/>
        <v>12.48</v>
      </c>
      <c r="DB11" s="125">
        <f t="shared" si="22"/>
        <v>12.48</v>
      </c>
      <c r="DC11" s="125">
        <f t="shared" si="22"/>
        <v>12.48</v>
      </c>
      <c r="DE11" s="127">
        <f t="shared" si="23"/>
        <v>0</v>
      </c>
      <c r="DF11" s="127">
        <f t="shared" si="23"/>
        <v>0</v>
      </c>
      <c r="DG11" s="127">
        <f t="shared" si="23"/>
        <v>0.22479051723900764</v>
      </c>
      <c r="DH11" s="127">
        <f t="shared" si="23"/>
        <v>0.11187413414081597</v>
      </c>
      <c r="DI11" s="127">
        <f t="shared" si="23"/>
        <v>6.2069141558168735E-2</v>
      </c>
      <c r="DJ11" s="127">
        <f t="shared" si="23"/>
        <v>2.6954741967326005E-2</v>
      </c>
      <c r="DK11" s="127">
        <f t="shared" si="23"/>
        <v>2.5523266899398319E-2</v>
      </c>
      <c r="DL11" s="127">
        <f t="shared" si="23"/>
        <v>2.4160626330139812E-2</v>
      </c>
      <c r="DM11" s="127">
        <f t="shared" si="23"/>
        <v>2.2864262890177903E-2</v>
      </c>
      <c r="DN11" s="127">
        <f t="shared" si="23"/>
        <v>2.1631633767724805E-2</v>
      </c>
      <c r="DP11" s="127">
        <v>0.24</v>
      </c>
      <c r="DQ11" s="512">
        <f t="shared" si="34"/>
        <v>-6.500000000000148E-3</v>
      </c>
      <c r="DR11" s="506">
        <f t="shared" si="34"/>
        <v>0.05</v>
      </c>
      <c r="DS11" s="506">
        <f t="shared" si="31"/>
        <v>0.1</v>
      </c>
      <c r="DT11" s="506">
        <f t="shared" si="31"/>
        <v>0.15000000000000002</v>
      </c>
      <c r="DU11" s="506">
        <f t="shared" si="35"/>
        <v>0.22</v>
      </c>
      <c r="DV11" s="506">
        <f t="shared" si="35"/>
        <v>0.25</v>
      </c>
      <c r="DW11" s="506">
        <f t="shared" si="24"/>
        <v>0.25</v>
      </c>
      <c r="DX11" s="506">
        <f t="shared" si="24"/>
        <v>0.25</v>
      </c>
      <c r="DY11" s="506">
        <f t="shared" si="24"/>
        <v>0.25</v>
      </c>
      <c r="EA11" s="128">
        <f t="shared" si="32"/>
        <v>0</v>
      </c>
      <c r="EB11" s="128">
        <f t="shared" si="25"/>
        <v>0</v>
      </c>
      <c r="EC11" s="128">
        <f t="shared" si="25"/>
        <v>483.13199999999995</v>
      </c>
      <c r="ED11" s="128">
        <f t="shared" si="25"/>
        <v>852.70255199999986</v>
      </c>
      <c r="EE11" s="128">
        <f t="shared" si="25"/>
        <v>926.12971619999985</v>
      </c>
      <c r="EF11" s="128">
        <f t="shared" si="25"/>
        <v>879.60531751559961</v>
      </c>
      <c r="EG11" s="128">
        <f t="shared" si="25"/>
        <v>875.37644579677465</v>
      </c>
      <c r="EH11" s="128">
        <f t="shared" si="25"/>
        <v>906.01462139966156</v>
      </c>
      <c r="EI11" s="128">
        <f t="shared" si="25"/>
        <v>937.72513314864966</v>
      </c>
      <c r="EJ11" s="128">
        <f t="shared" si="25"/>
        <v>970.54551280885232</v>
      </c>
    </row>
    <row r="12" spans="1:141" ht="15.75">
      <c r="B12" s="124" t="s">
        <v>175</v>
      </c>
      <c r="C12" s="124" t="s">
        <v>429</v>
      </c>
      <c r="D12" s="19" t="s">
        <v>129</v>
      </c>
      <c r="E12" s="151">
        <v>0.02</v>
      </c>
      <c r="F12" s="170">
        <v>1</v>
      </c>
      <c r="G12" s="151">
        <v>1</v>
      </c>
      <c r="H12" s="124" t="s">
        <v>177</v>
      </c>
      <c r="J12" s="508"/>
      <c r="K12" s="508">
        <v>4</v>
      </c>
      <c r="L12" s="508">
        <f>K12+0.5</f>
        <v>4.5</v>
      </c>
      <c r="M12" s="508">
        <f>L12+1</f>
        <v>5.5</v>
      </c>
      <c r="N12" s="508">
        <f>M12+1</f>
        <v>6.5</v>
      </c>
      <c r="O12" s="508">
        <f>N12+1</f>
        <v>7.5</v>
      </c>
      <c r="P12" s="508">
        <f t="shared" si="36"/>
        <v>7.5</v>
      </c>
      <c r="Q12" s="508">
        <f t="shared" si="36"/>
        <v>7.5</v>
      </c>
      <c r="R12" s="508">
        <f t="shared" si="36"/>
        <v>7.5</v>
      </c>
      <c r="S12" s="508">
        <f t="shared" si="36"/>
        <v>7.5</v>
      </c>
      <c r="U12" s="152"/>
      <c r="V12" s="508">
        <v>15</v>
      </c>
      <c r="W12" s="152">
        <v>52</v>
      </c>
      <c r="X12" s="125">
        <v>52</v>
      </c>
      <c r="Y12" s="125">
        <v>52</v>
      </c>
      <c r="Z12" s="508">
        <f t="shared" si="37"/>
        <v>52</v>
      </c>
      <c r="AA12" s="508">
        <f t="shared" si="37"/>
        <v>52</v>
      </c>
      <c r="AB12" s="508">
        <f t="shared" si="37"/>
        <v>52</v>
      </c>
      <c r="AC12" s="508">
        <f t="shared" si="37"/>
        <v>52</v>
      </c>
      <c r="AD12" s="508">
        <f t="shared" si="37"/>
        <v>52</v>
      </c>
      <c r="AF12" s="165">
        <v>1</v>
      </c>
      <c r="AG12" s="165">
        <v>1</v>
      </c>
      <c r="AH12" s="165">
        <v>1</v>
      </c>
      <c r="AI12" s="165">
        <v>1</v>
      </c>
      <c r="AJ12" s="165">
        <v>1</v>
      </c>
      <c r="AK12" s="509">
        <f t="shared" si="27"/>
        <v>1</v>
      </c>
      <c r="AL12" s="509">
        <f t="shared" si="27"/>
        <v>1</v>
      </c>
      <c r="AM12" s="509">
        <f t="shared" si="27"/>
        <v>1</v>
      </c>
      <c r="AN12" s="509">
        <f t="shared" si="27"/>
        <v>1</v>
      </c>
      <c r="AO12" s="509">
        <f t="shared" si="14"/>
        <v>1</v>
      </c>
      <c r="AQ12" s="152"/>
      <c r="AR12" s="510">
        <f>AR9</f>
        <v>250</v>
      </c>
      <c r="AS12" s="510">
        <f t="shared" ref="AS12:AV12" si="41">AS9</f>
        <v>300</v>
      </c>
      <c r="AT12" s="510">
        <f t="shared" si="41"/>
        <v>450</v>
      </c>
      <c r="AU12" s="510">
        <f t="shared" si="41"/>
        <v>500</v>
      </c>
      <c r="AV12" s="510">
        <f t="shared" si="41"/>
        <v>500</v>
      </c>
      <c r="AW12" s="510">
        <f>AV12</f>
        <v>500</v>
      </c>
      <c r="AX12" s="510">
        <f t="shared" si="39"/>
        <v>500</v>
      </c>
      <c r="AY12" s="510">
        <f t="shared" si="39"/>
        <v>500</v>
      </c>
      <c r="AZ12" s="510">
        <f t="shared" si="39"/>
        <v>500</v>
      </c>
      <c r="BB12" s="152"/>
      <c r="BC12" s="508">
        <v>2</v>
      </c>
      <c r="BD12" s="510">
        <f>BC12</f>
        <v>2</v>
      </c>
      <c r="BE12" s="510">
        <f t="shared" ref="BE12:BJ14" si="42">BD12</f>
        <v>2</v>
      </c>
      <c r="BF12" s="510">
        <f t="shared" si="42"/>
        <v>2</v>
      </c>
      <c r="BG12" s="510">
        <f t="shared" si="42"/>
        <v>2</v>
      </c>
      <c r="BH12" s="510">
        <f t="shared" si="42"/>
        <v>2</v>
      </c>
      <c r="BI12" s="510">
        <f t="shared" si="42"/>
        <v>2</v>
      </c>
      <c r="BJ12" s="510">
        <f t="shared" si="42"/>
        <v>2</v>
      </c>
      <c r="BK12" s="510">
        <f t="shared" si="17"/>
        <v>2</v>
      </c>
      <c r="BM12" s="125">
        <f t="shared" si="30"/>
        <v>0</v>
      </c>
      <c r="BN12" s="125">
        <f t="shared" si="30"/>
        <v>30</v>
      </c>
      <c r="BO12" s="125">
        <f t="shared" si="30"/>
        <v>140.4</v>
      </c>
      <c r="BP12" s="125">
        <f t="shared" si="30"/>
        <v>257.39999999999998</v>
      </c>
      <c r="BQ12" s="125">
        <f t="shared" si="30"/>
        <v>338</v>
      </c>
      <c r="BR12" s="125">
        <f t="shared" si="18"/>
        <v>390</v>
      </c>
      <c r="BS12" s="125">
        <f t="shared" si="18"/>
        <v>390</v>
      </c>
      <c r="BT12" s="125">
        <f t="shared" si="18"/>
        <v>390</v>
      </c>
      <c r="BU12" s="125">
        <f t="shared" si="18"/>
        <v>390</v>
      </c>
      <c r="BV12" s="125">
        <f t="shared" si="18"/>
        <v>390</v>
      </c>
      <c r="BX12" s="511">
        <v>0.85562308636592632</v>
      </c>
      <c r="BY12" s="511">
        <v>0.85562308636592632</v>
      </c>
      <c r="BZ12" s="511">
        <v>0.85562308636592632</v>
      </c>
      <c r="CA12" s="511">
        <f t="shared" si="40"/>
        <v>0.88556989438873368</v>
      </c>
      <c r="CB12" s="511">
        <f t="shared" si="40"/>
        <v>0.91656484069233923</v>
      </c>
      <c r="CC12" s="511">
        <f t="shared" si="40"/>
        <v>0.94864461011657109</v>
      </c>
      <c r="CD12" s="511">
        <f t="shared" si="40"/>
        <v>0.98184717147065104</v>
      </c>
      <c r="CE12" s="511">
        <f t="shared" si="40"/>
        <v>1.0162118224721237</v>
      </c>
      <c r="CF12" s="511">
        <f t="shared" si="40"/>
        <v>1.051779236258648</v>
      </c>
      <c r="CG12" s="511">
        <f t="shared" si="40"/>
        <v>1.0885915095277006</v>
      </c>
      <c r="CI12" s="128">
        <f t="shared" si="21"/>
        <v>0</v>
      </c>
      <c r="CJ12" s="128">
        <f t="shared" si="21"/>
        <v>25.668692590977791</v>
      </c>
      <c r="CK12" s="128">
        <f t="shared" si="21"/>
        <v>120.12948132577606</v>
      </c>
      <c r="CL12" s="128">
        <f t="shared" si="21"/>
        <v>227.94569081566004</v>
      </c>
      <c r="CM12" s="128">
        <f t="shared" si="21"/>
        <v>309.79891615401067</v>
      </c>
      <c r="CN12" s="128">
        <f t="shared" si="21"/>
        <v>369.97139794546274</v>
      </c>
      <c r="CO12" s="128">
        <f t="shared" si="21"/>
        <v>382.9203968735539</v>
      </c>
      <c r="CP12" s="128">
        <f t="shared" si="21"/>
        <v>396.32261076412823</v>
      </c>
      <c r="CQ12" s="128">
        <f t="shared" si="21"/>
        <v>410.19390214087269</v>
      </c>
      <c r="CR12" s="128">
        <f t="shared" si="21"/>
        <v>424.55068871580323</v>
      </c>
      <c r="CT12" s="125">
        <f t="shared" si="22"/>
        <v>0</v>
      </c>
      <c r="CU12" s="125">
        <f t="shared" si="22"/>
        <v>0.6</v>
      </c>
      <c r="CV12" s="125">
        <f t="shared" si="22"/>
        <v>2.8080000000000003</v>
      </c>
      <c r="CW12" s="125">
        <f t="shared" si="22"/>
        <v>5.1479999999999997</v>
      </c>
      <c r="CX12" s="125">
        <f t="shared" si="22"/>
        <v>6.76</v>
      </c>
      <c r="CY12" s="125">
        <f t="shared" si="22"/>
        <v>7.8</v>
      </c>
      <c r="CZ12" s="125">
        <f t="shared" si="22"/>
        <v>7.8</v>
      </c>
      <c r="DA12" s="125">
        <f t="shared" si="22"/>
        <v>7.8</v>
      </c>
      <c r="DB12" s="125">
        <f t="shared" si="22"/>
        <v>7.8</v>
      </c>
      <c r="DC12" s="125">
        <f t="shared" si="22"/>
        <v>7.8</v>
      </c>
      <c r="DE12" s="127">
        <f t="shared" si="23"/>
        <v>0</v>
      </c>
      <c r="DF12" s="127">
        <f t="shared" si="23"/>
        <v>5.2863881911094764E-2</v>
      </c>
      <c r="DG12" s="127">
        <f t="shared" si="23"/>
        <v>0.10115573275755345</v>
      </c>
      <c r="DH12" s="127">
        <f t="shared" si="23"/>
        <v>5.1275644814540645E-2</v>
      </c>
      <c r="DI12" s="127">
        <f t="shared" si="23"/>
        <v>3.3620785010674732E-2</v>
      </c>
      <c r="DJ12" s="127">
        <f t="shared" si="23"/>
        <v>1.6846713729578754E-2</v>
      </c>
      <c r="DK12" s="127">
        <f t="shared" si="23"/>
        <v>1.5952041812123948E-2</v>
      </c>
      <c r="DL12" s="127">
        <f t="shared" si="23"/>
        <v>1.5100391456337382E-2</v>
      </c>
      <c r="DM12" s="127">
        <f t="shared" si="23"/>
        <v>1.4290164306361189E-2</v>
      </c>
      <c r="DN12" s="127">
        <f t="shared" si="23"/>
        <v>1.3519771104828004E-2</v>
      </c>
      <c r="DP12" s="127">
        <v>0.24</v>
      </c>
      <c r="DQ12" s="512">
        <f t="shared" si="34"/>
        <v>-6.500000000000148E-3</v>
      </c>
      <c r="DR12" s="506">
        <f t="shared" si="34"/>
        <v>0.05</v>
      </c>
      <c r="DS12" s="506">
        <f t="shared" si="31"/>
        <v>0.1</v>
      </c>
      <c r="DT12" s="506">
        <f t="shared" si="31"/>
        <v>0.15000000000000002</v>
      </c>
      <c r="DU12" s="506">
        <f t="shared" si="35"/>
        <v>0.22</v>
      </c>
      <c r="DV12" s="506">
        <f t="shared" si="35"/>
        <v>0.25</v>
      </c>
      <c r="DW12" s="506">
        <f t="shared" si="24"/>
        <v>0.25</v>
      </c>
      <c r="DX12" s="506">
        <f t="shared" si="24"/>
        <v>0.25</v>
      </c>
      <c r="DY12" s="506">
        <f t="shared" si="24"/>
        <v>0.25</v>
      </c>
      <c r="EA12" s="128">
        <f t="shared" si="32"/>
        <v>0</v>
      </c>
      <c r="EB12" s="128">
        <f t="shared" si="25"/>
        <v>25.83553909281915</v>
      </c>
      <c r="EC12" s="128">
        <f t="shared" si="25"/>
        <v>114.12300725948725</v>
      </c>
      <c r="ED12" s="128">
        <f t="shared" si="25"/>
        <v>205.15112173409403</v>
      </c>
      <c r="EE12" s="128">
        <f t="shared" si="25"/>
        <v>263.32907873090909</v>
      </c>
      <c r="EF12" s="128">
        <f t="shared" si="25"/>
        <v>288.57769039746097</v>
      </c>
      <c r="EG12" s="128">
        <f t="shared" si="25"/>
        <v>287.19029765516541</v>
      </c>
      <c r="EH12" s="128">
        <f t="shared" si="25"/>
        <v>297.24195807309616</v>
      </c>
      <c r="EI12" s="128">
        <f t="shared" si="25"/>
        <v>307.64542660565451</v>
      </c>
      <c r="EJ12" s="128">
        <f t="shared" si="25"/>
        <v>318.41301653685241</v>
      </c>
    </row>
    <row r="13" spans="1:141" ht="15.75">
      <c r="B13" s="19" t="s">
        <v>175</v>
      </c>
      <c r="C13" s="124" t="s">
        <v>429</v>
      </c>
      <c r="D13" s="19" t="s">
        <v>167</v>
      </c>
      <c r="E13" s="153">
        <v>0.02</v>
      </c>
      <c r="F13" s="170">
        <v>0.5</v>
      </c>
      <c r="G13" s="151">
        <v>1</v>
      </c>
      <c r="H13" s="19" t="s">
        <v>157</v>
      </c>
      <c r="J13" s="152"/>
      <c r="K13" s="152"/>
      <c r="L13" s="125"/>
      <c r="M13" s="125"/>
      <c r="N13" s="125"/>
      <c r="O13" s="125"/>
      <c r="P13" s="125"/>
      <c r="Q13" s="125"/>
      <c r="R13" s="125"/>
      <c r="S13" s="125"/>
      <c r="U13" s="152"/>
      <c r="V13" s="152"/>
      <c r="W13" s="152"/>
      <c r="X13" s="125"/>
      <c r="Y13" s="125"/>
      <c r="Z13" s="508"/>
      <c r="AA13" s="508"/>
      <c r="AB13" s="508"/>
      <c r="AC13" s="508"/>
      <c r="AD13" s="508"/>
      <c r="AF13" s="165">
        <v>1</v>
      </c>
      <c r="AG13" s="165">
        <v>1</v>
      </c>
      <c r="AH13" s="165">
        <v>1</v>
      </c>
      <c r="AI13" s="165">
        <v>1</v>
      </c>
      <c r="AJ13" s="165">
        <v>1</v>
      </c>
      <c r="AK13" s="509">
        <f t="shared" si="27"/>
        <v>1</v>
      </c>
      <c r="AL13" s="509">
        <f t="shared" si="27"/>
        <v>1</v>
      </c>
      <c r="AM13" s="509">
        <f t="shared" si="27"/>
        <v>1</v>
      </c>
      <c r="AN13" s="509">
        <f t="shared" si="27"/>
        <v>1</v>
      </c>
      <c r="AO13" s="509">
        <f t="shared" si="14"/>
        <v>1</v>
      </c>
      <c r="AQ13" s="152"/>
      <c r="AR13" s="152"/>
      <c r="AS13" s="152"/>
      <c r="AT13" s="152"/>
      <c r="AU13" s="152"/>
      <c r="AV13" s="152"/>
      <c r="AW13" s="510">
        <f t="shared" ref="AW13:AZ14" si="43">AV13*(1+$AW$6)</f>
        <v>0</v>
      </c>
      <c r="AX13" s="510">
        <f t="shared" si="43"/>
        <v>0</v>
      </c>
      <c r="AY13" s="510">
        <f t="shared" si="43"/>
        <v>0</v>
      </c>
      <c r="AZ13" s="510">
        <f t="shared" si="43"/>
        <v>0</v>
      </c>
      <c r="BB13" s="152"/>
      <c r="BC13" s="152">
        <v>2</v>
      </c>
      <c r="BD13" s="152">
        <v>3</v>
      </c>
      <c r="BE13" s="152">
        <v>3</v>
      </c>
      <c r="BF13" s="152">
        <v>3</v>
      </c>
      <c r="BG13" s="508">
        <f t="shared" si="42"/>
        <v>3</v>
      </c>
      <c r="BH13" s="508">
        <f t="shared" si="42"/>
        <v>3</v>
      </c>
      <c r="BI13" s="508">
        <f t="shared" si="42"/>
        <v>3</v>
      </c>
      <c r="BJ13" s="508">
        <f t="shared" si="42"/>
        <v>3</v>
      </c>
      <c r="BK13" s="508">
        <f t="shared" si="17"/>
        <v>3</v>
      </c>
      <c r="BM13" s="125">
        <f t="shared" si="30"/>
        <v>0</v>
      </c>
      <c r="BN13" s="125">
        <f t="shared" si="30"/>
        <v>0</v>
      </c>
      <c r="BO13" s="125">
        <f t="shared" si="30"/>
        <v>0</v>
      </c>
      <c r="BP13" s="125">
        <f t="shared" si="30"/>
        <v>0</v>
      </c>
      <c r="BQ13" s="125">
        <f t="shared" si="30"/>
        <v>0</v>
      </c>
      <c r="BR13" s="125">
        <f t="shared" si="18"/>
        <v>0</v>
      </c>
      <c r="BS13" s="125">
        <f t="shared" si="18"/>
        <v>0</v>
      </c>
      <c r="BT13" s="125">
        <f t="shared" si="18"/>
        <v>0</v>
      </c>
      <c r="BU13" s="125">
        <f t="shared" si="18"/>
        <v>0</v>
      </c>
      <c r="BV13" s="125">
        <f t="shared" si="18"/>
        <v>0</v>
      </c>
      <c r="BX13" s="160"/>
      <c r="BY13" s="159"/>
      <c r="BZ13" s="159"/>
      <c r="CA13" s="511"/>
      <c r="CB13" s="511"/>
      <c r="CC13" s="511"/>
      <c r="CD13" s="511"/>
      <c r="CE13" s="511"/>
      <c r="CF13" s="511"/>
      <c r="CG13" s="511"/>
      <c r="CI13" s="128">
        <f t="shared" si="21"/>
        <v>0</v>
      </c>
      <c r="CJ13" s="128">
        <f t="shared" si="21"/>
        <v>0</v>
      </c>
      <c r="CK13" s="128">
        <f t="shared" si="21"/>
        <v>0</v>
      </c>
      <c r="CL13" s="128">
        <f t="shared" si="21"/>
        <v>0</v>
      </c>
      <c r="CM13" s="128">
        <f t="shared" si="21"/>
        <v>0</v>
      </c>
      <c r="CN13" s="128">
        <f t="shared" si="21"/>
        <v>0</v>
      </c>
      <c r="CO13" s="128">
        <f t="shared" si="21"/>
        <v>0</v>
      </c>
      <c r="CP13" s="128">
        <f t="shared" si="21"/>
        <v>0</v>
      </c>
      <c r="CQ13" s="128">
        <f t="shared" si="21"/>
        <v>0</v>
      </c>
      <c r="CR13" s="128">
        <f t="shared" si="21"/>
        <v>0</v>
      </c>
      <c r="CT13" s="125">
        <f t="shared" si="22"/>
        <v>0</v>
      </c>
      <c r="CU13" s="125">
        <f t="shared" si="22"/>
        <v>0</v>
      </c>
      <c r="CV13" s="125">
        <f t="shared" si="22"/>
        <v>0</v>
      </c>
      <c r="CW13" s="125">
        <f t="shared" si="22"/>
        <v>0</v>
      </c>
      <c r="CX13" s="125">
        <f t="shared" si="22"/>
        <v>0</v>
      </c>
      <c r="CY13" s="125">
        <f t="shared" si="22"/>
        <v>0</v>
      </c>
      <c r="CZ13" s="125">
        <f t="shared" si="22"/>
        <v>0</v>
      </c>
      <c r="DA13" s="125">
        <f t="shared" si="22"/>
        <v>0</v>
      </c>
      <c r="DB13" s="125">
        <f t="shared" si="22"/>
        <v>0</v>
      </c>
      <c r="DC13" s="125">
        <f t="shared" si="22"/>
        <v>0</v>
      </c>
      <c r="DE13" s="127">
        <f t="shared" si="23"/>
        <v>0</v>
      </c>
      <c r="DF13" s="127">
        <f t="shared" si="23"/>
        <v>0</v>
      </c>
      <c r="DG13" s="127">
        <f t="shared" si="23"/>
        <v>0</v>
      </c>
      <c r="DH13" s="127">
        <f t="shared" si="23"/>
        <v>0</v>
      </c>
      <c r="DI13" s="127">
        <f t="shared" si="23"/>
        <v>0</v>
      </c>
      <c r="DJ13" s="127">
        <f t="shared" si="23"/>
        <v>0</v>
      </c>
      <c r="DK13" s="127">
        <f t="shared" si="23"/>
        <v>0</v>
      </c>
      <c r="DL13" s="127">
        <f t="shared" si="23"/>
        <v>0</v>
      </c>
      <c r="DM13" s="127">
        <f t="shared" si="23"/>
        <v>0</v>
      </c>
      <c r="DN13" s="127">
        <f t="shared" si="23"/>
        <v>0</v>
      </c>
      <c r="DP13" s="127">
        <v>0.24</v>
      </c>
      <c r="DQ13" s="512">
        <f t="shared" si="34"/>
        <v>-6.500000000000148E-3</v>
      </c>
      <c r="DR13" s="506">
        <f t="shared" si="34"/>
        <v>0.05</v>
      </c>
      <c r="DS13" s="506">
        <f t="shared" si="31"/>
        <v>0.1</v>
      </c>
      <c r="DT13" s="506">
        <f t="shared" si="31"/>
        <v>0.15000000000000002</v>
      </c>
      <c r="DU13" s="506">
        <f t="shared" si="35"/>
        <v>0.22</v>
      </c>
      <c r="DV13" s="506">
        <f t="shared" si="35"/>
        <v>0.25</v>
      </c>
      <c r="DW13" s="506">
        <f t="shared" si="24"/>
        <v>0.25</v>
      </c>
      <c r="DX13" s="506">
        <f t="shared" si="24"/>
        <v>0.25</v>
      </c>
      <c r="DY13" s="506">
        <f t="shared" si="24"/>
        <v>0.25</v>
      </c>
      <c r="EA13" s="20">
        <f t="shared" si="32"/>
        <v>0</v>
      </c>
      <c r="EB13" s="20">
        <f t="shared" si="25"/>
        <v>0</v>
      </c>
      <c r="EC13" s="128">
        <f t="shared" si="25"/>
        <v>0</v>
      </c>
      <c r="ED13" s="128">
        <f t="shared" si="25"/>
        <v>0</v>
      </c>
      <c r="EE13" s="128">
        <f t="shared" si="25"/>
        <v>0</v>
      </c>
      <c r="EF13" s="128">
        <f t="shared" si="25"/>
        <v>0</v>
      </c>
      <c r="EG13" s="128">
        <f t="shared" si="25"/>
        <v>0</v>
      </c>
      <c r="EH13" s="128">
        <f t="shared" si="25"/>
        <v>0</v>
      </c>
      <c r="EI13" s="128">
        <f t="shared" si="25"/>
        <v>0</v>
      </c>
      <c r="EJ13" s="128">
        <f t="shared" si="25"/>
        <v>0</v>
      </c>
    </row>
    <row r="14" spans="1:141" ht="15.75">
      <c r="B14" s="19" t="s">
        <v>175</v>
      </c>
      <c r="C14" s="124" t="s">
        <v>429</v>
      </c>
      <c r="D14" s="19" t="s">
        <v>170</v>
      </c>
      <c r="E14" s="153">
        <v>0.88</v>
      </c>
      <c r="F14" s="170">
        <v>0.5</v>
      </c>
      <c r="G14" s="151">
        <v>1</v>
      </c>
      <c r="H14" s="19" t="s">
        <v>157</v>
      </c>
      <c r="J14" s="152"/>
      <c r="K14" s="152"/>
      <c r="L14" s="125"/>
      <c r="M14" s="125"/>
      <c r="N14" s="125"/>
      <c r="O14" s="125"/>
      <c r="P14" s="125"/>
      <c r="Q14" s="125"/>
      <c r="R14" s="125"/>
      <c r="S14" s="125"/>
      <c r="U14" s="152"/>
      <c r="V14" s="152"/>
      <c r="W14" s="152"/>
      <c r="X14" s="125"/>
      <c r="Y14" s="125"/>
      <c r="Z14" s="508"/>
      <c r="AA14" s="508"/>
      <c r="AB14" s="508"/>
      <c r="AC14" s="508"/>
      <c r="AD14" s="508"/>
      <c r="AF14" s="165">
        <v>1</v>
      </c>
      <c r="AG14" s="165">
        <v>1</v>
      </c>
      <c r="AH14" s="165">
        <v>1</v>
      </c>
      <c r="AI14" s="165">
        <v>1</v>
      </c>
      <c r="AJ14" s="165">
        <v>1</v>
      </c>
      <c r="AK14" s="509">
        <f t="shared" si="27"/>
        <v>1</v>
      </c>
      <c r="AL14" s="509">
        <f t="shared" si="27"/>
        <v>1</v>
      </c>
      <c r="AM14" s="509">
        <f t="shared" si="27"/>
        <v>1</v>
      </c>
      <c r="AN14" s="509">
        <f t="shared" si="27"/>
        <v>1</v>
      </c>
      <c r="AO14" s="509">
        <f t="shared" si="14"/>
        <v>1</v>
      </c>
      <c r="AQ14" s="152"/>
      <c r="AR14" s="152"/>
      <c r="AS14" s="152"/>
      <c r="AT14" s="152"/>
      <c r="AU14" s="152"/>
      <c r="AV14" s="152"/>
      <c r="AW14" s="510">
        <f t="shared" si="43"/>
        <v>0</v>
      </c>
      <c r="AX14" s="510">
        <f t="shared" si="43"/>
        <v>0</v>
      </c>
      <c r="AY14" s="510">
        <f t="shared" si="43"/>
        <v>0</v>
      </c>
      <c r="AZ14" s="510">
        <f t="shared" si="43"/>
        <v>0</v>
      </c>
      <c r="BB14" s="152">
        <v>3</v>
      </c>
      <c r="BC14" s="152">
        <v>3</v>
      </c>
      <c r="BD14" s="152">
        <v>6</v>
      </c>
      <c r="BE14" s="152">
        <v>8</v>
      </c>
      <c r="BF14" s="152">
        <v>8</v>
      </c>
      <c r="BG14" s="508">
        <f t="shared" si="42"/>
        <v>8</v>
      </c>
      <c r="BH14" s="508">
        <f t="shared" si="42"/>
        <v>8</v>
      </c>
      <c r="BI14" s="508">
        <f t="shared" si="42"/>
        <v>8</v>
      </c>
      <c r="BJ14" s="508">
        <f t="shared" si="42"/>
        <v>8</v>
      </c>
      <c r="BK14" s="508">
        <f t="shared" si="17"/>
        <v>8</v>
      </c>
      <c r="BM14" s="125">
        <f t="shared" si="30"/>
        <v>0</v>
      </c>
      <c r="BN14" s="125">
        <f t="shared" si="30"/>
        <v>0</v>
      </c>
      <c r="BO14" s="125">
        <f t="shared" si="30"/>
        <v>0</v>
      </c>
      <c r="BP14" s="125">
        <f t="shared" si="30"/>
        <v>0</v>
      </c>
      <c r="BQ14" s="125">
        <f t="shared" si="30"/>
        <v>0</v>
      </c>
      <c r="BR14" s="125">
        <f t="shared" si="18"/>
        <v>0</v>
      </c>
      <c r="BS14" s="125">
        <f t="shared" si="18"/>
        <v>0</v>
      </c>
      <c r="BT14" s="125">
        <f t="shared" si="18"/>
        <v>0</v>
      </c>
      <c r="BU14" s="125">
        <f t="shared" si="18"/>
        <v>0</v>
      </c>
      <c r="BV14" s="125">
        <f t="shared" si="18"/>
        <v>0</v>
      </c>
      <c r="BX14" s="160"/>
      <c r="BY14" s="159"/>
      <c r="BZ14" s="159"/>
      <c r="CA14" s="511"/>
      <c r="CB14" s="511"/>
      <c r="CC14" s="511"/>
      <c r="CD14" s="511"/>
      <c r="CE14" s="511"/>
      <c r="CF14" s="511"/>
      <c r="CG14" s="511"/>
      <c r="CI14" s="128">
        <f t="shared" si="21"/>
        <v>0</v>
      </c>
      <c r="CJ14" s="128">
        <f t="shared" si="21"/>
        <v>0</v>
      </c>
      <c r="CK14" s="128">
        <f t="shared" si="21"/>
        <v>0</v>
      </c>
      <c r="CL14" s="128">
        <f t="shared" si="21"/>
        <v>0</v>
      </c>
      <c r="CM14" s="128">
        <f t="shared" si="21"/>
        <v>0</v>
      </c>
      <c r="CN14" s="128">
        <f t="shared" si="21"/>
        <v>0</v>
      </c>
      <c r="CO14" s="128">
        <f t="shared" si="21"/>
        <v>0</v>
      </c>
      <c r="CP14" s="128">
        <f t="shared" si="21"/>
        <v>0</v>
      </c>
      <c r="CQ14" s="128">
        <f t="shared" si="21"/>
        <v>0</v>
      </c>
      <c r="CR14" s="128">
        <f t="shared" si="21"/>
        <v>0</v>
      </c>
      <c r="CT14" s="125">
        <f t="shared" si="22"/>
        <v>0</v>
      </c>
      <c r="CU14" s="125">
        <f t="shared" si="22"/>
        <v>0</v>
      </c>
      <c r="CV14" s="125">
        <f t="shared" si="22"/>
        <v>0</v>
      </c>
      <c r="CW14" s="125">
        <f t="shared" si="22"/>
        <v>0</v>
      </c>
      <c r="CX14" s="125">
        <f t="shared" si="22"/>
        <v>0</v>
      </c>
      <c r="CY14" s="125">
        <f t="shared" si="22"/>
        <v>0</v>
      </c>
      <c r="CZ14" s="125">
        <f t="shared" si="22"/>
        <v>0</v>
      </c>
      <c r="DA14" s="125">
        <f t="shared" si="22"/>
        <v>0</v>
      </c>
      <c r="DB14" s="125">
        <f t="shared" si="22"/>
        <v>0</v>
      </c>
      <c r="DC14" s="125">
        <f t="shared" si="22"/>
        <v>0</v>
      </c>
      <c r="DE14" s="127">
        <f t="shared" si="23"/>
        <v>0</v>
      </c>
      <c r="DF14" s="127">
        <f t="shared" si="23"/>
        <v>0</v>
      </c>
      <c r="DG14" s="127">
        <f t="shared" si="23"/>
        <v>0</v>
      </c>
      <c r="DH14" s="127">
        <f t="shared" si="23"/>
        <v>0</v>
      </c>
      <c r="DI14" s="127">
        <f t="shared" si="23"/>
        <v>0</v>
      </c>
      <c r="DJ14" s="127">
        <f t="shared" si="23"/>
        <v>0</v>
      </c>
      <c r="DK14" s="127">
        <f t="shared" si="23"/>
        <v>0</v>
      </c>
      <c r="DL14" s="127">
        <f t="shared" si="23"/>
        <v>0</v>
      </c>
      <c r="DM14" s="127">
        <f t="shared" si="23"/>
        <v>0</v>
      </c>
      <c r="DN14" s="127">
        <f t="shared" si="23"/>
        <v>0</v>
      </c>
      <c r="DP14" s="127">
        <v>0.24</v>
      </c>
      <c r="DQ14" s="512">
        <f t="shared" si="34"/>
        <v>-6.500000000000148E-3</v>
      </c>
      <c r="DR14" s="506">
        <f t="shared" si="34"/>
        <v>0.05</v>
      </c>
      <c r="DS14" s="506">
        <f t="shared" si="31"/>
        <v>0.1</v>
      </c>
      <c r="DT14" s="506">
        <f t="shared" si="31"/>
        <v>0.15000000000000002</v>
      </c>
      <c r="DU14" s="506">
        <f t="shared" si="35"/>
        <v>0.22</v>
      </c>
      <c r="DV14" s="506">
        <f t="shared" si="35"/>
        <v>0.25</v>
      </c>
      <c r="DW14" s="506">
        <f t="shared" si="24"/>
        <v>0.25</v>
      </c>
      <c r="DX14" s="506">
        <f t="shared" si="24"/>
        <v>0.25</v>
      </c>
      <c r="DY14" s="506">
        <f t="shared" si="24"/>
        <v>0.25</v>
      </c>
      <c r="EA14" s="20">
        <f t="shared" si="32"/>
        <v>0</v>
      </c>
      <c r="EB14" s="20">
        <f t="shared" si="25"/>
        <v>0</v>
      </c>
      <c r="EC14" s="128">
        <f t="shared" si="25"/>
        <v>0</v>
      </c>
      <c r="ED14" s="128">
        <f t="shared" si="25"/>
        <v>0</v>
      </c>
      <c r="EE14" s="128">
        <f t="shared" si="25"/>
        <v>0</v>
      </c>
      <c r="EF14" s="128">
        <f t="shared" si="25"/>
        <v>0</v>
      </c>
      <c r="EG14" s="128">
        <f t="shared" si="25"/>
        <v>0</v>
      </c>
      <c r="EH14" s="128">
        <f t="shared" si="25"/>
        <v>0</v>
      </c>
      <c r="EI14" s="128">
        <f t="shared" si="25"/>
        <v>0</v>
      </c>
      <c r="EJ14" s="128">
        <f t="shared" si="25"/>
        <v>0</v>
      </c>
    </row>
    <row r="15" spans="1:141" ht="15.75">
      <c r="B15" s="19" t="s">
        <v>175</v>
      </c>
      <c r="C15" s="124" t="s">
        <v>434</v>
      </c>
      <c r="D15" s="19" t="str">
        <f>$D$8</f>
        <v>Ice Cream Pints</v>
      </c>
      <c r="E15" s="153">
        <f>E$8</f>
        <v>0.02</v>
      </c>
      <c r="F15" s="170">
        <f t="shared" ref="F15:H15" si="44">F$8</f>
        <v>0.25110000000000005</v>
      </c>
      <c r="G15" s="151">
        <f t="shared" si="44"/>
        <v>1</v>
      </c>
      <c r="H15" s="19" t="str">
        <f t="shared" si="44"/>
        <v>Pints</v>
      </c>
      <c r="J15" s="510">
        <f>J8</f>
        <v>3</v>
      </c>
      <c r="K15" s="510">
        <f t="shared" ref="K15:T19" si="45">K8</f>
        <v>1.5228135781755292</v>
      </c>
      <c r="L15" s="510">
        <f t="shared" si="45"/>
        <v>2.022813578175529</v>
      </c>
      <c r="M15" s="510">
        <f t="shared" si="45"/>
        <v>3</v>
      </c>
      <c r="N15" s="510">
        <f t="shared" si="45"/>
        <v>3</v>
      </c>
      <c r="O15" s="510">
        <f t="shared" si="45"/>
        <v>3</v>
      </c>
      <c r="P15" s="510">
        <f t="shared" si="45"/>
        <v>3</v>
      </c>
      <c r="Q15" s="510">
        <f t="shared" si="45"/>
        <v>3</v>
      </c>
      <c r="R15" s="510">
        <f t="shared" si="45"/>
        <v>3</v>
      </c>
      <c r="S15" s="510">
        <f t="shared" si="45"/>
        <v>3</v>
      </c>
      <c r="T15" s="510">
        <f t="shared" si="45"/>
        <v>0</v>
      </c>
      <c r="U15" s="125">
        <v>26</v>
      </c>
      <c r="V15" s="125">
        <v>52</v>
      </c>
      <c r="W15" s="125">
        <v>52</v>
      </c>
      <c r="X15" s="125">
        <v>52</v>
      </c>
      <c r="Y15" s="125">
        <v>52</v>
      </c>
      <c r="Z15" s="508">
        <f t="shared" ref="Z15:AD16" si="46">Y15</f>
        <v>52</v>
      </c>
      <c r="AA15" s="508">
        <f t="shared" si="46"/>
        <v>52</v>
      </c>
      <c r="AB15" s="508">
        <f t="shared" si="46"/>
        <v>52</v>
      </c>
      <c r="AC15" s="508">
        <f t="shared" si="46"/>
        <v>52</v>
      </c>
      <c r="AD15" s="508">
        <f t="shared" si="46"/>
        <v>52</v>
      </c>
      <c r="AF15" s="165">
        <v>1</v>
      </c>
      <c r="AG15" s="165">
        <v>1</v>
      </c>
      <c r="AH15" s="165">
        <v>1</v>
      </c>
      <c r="AI15" s="165">
        <v>1</v>
      </c>
      <c r="AJ15" s="165">
        <v>1</v>
      </c>
      <c r="AK15" s="509">
        <f t="shared" si="27"/>
        <v>1</v>
      </c>
      <c r="AL15" s="509">
        <f t="shared" si="27"/>
        <v>1</v>
      </c>
      <c r="AM15" s="509">
        <f t="shared" si="27"/>
        <v>1</v>
      </c>
      <c r="AN15" s="509">
        <f t="shared" si="27"/>
        <v>1</v>
      </c>
      <c r="AO15" s="509">
        <f t="shared" si="14"/>
        <v>1</v>
      </c>
      <c r="AQ15" s="152"/>
      <c r="AR15" s="152">
        <v>150</v>
      </c>
      <c r="AS15" s="152">
        <v>175</v>
      </c>
      <c r="AT15" s="152">
        <v>250</v>
      </c>
      <c r="AU15" s="152">
        <v>275</v>
      </c>
      <c r="AV15" s="152">
        <v>302.5</v>
      </c>
      <c r="AW15" s="510">
        <f>AV15</f>
        <v>302.5</v>
      </c>
      <c r="AX15" s="510">
        <f t="shared" ref="AX15:AZ16" si="47">AW15</f>
        <v>302.5</v>
      </c>
      <c r="AY15" s="510">
        <f t="shared" si="47"/>
        <v>302.5</v>
      </c>
      <c r="AZ15" s="510">
        <f t="shared" si="47"/>
        <v>302.5</v>
      </c>
      <c r="BB15" s="152">
        <v>6</v>
      </c>
      <c r="BC15" s="510">
        <f>BC8</f>
        <v>12</v>
      </c>
      <c r="BD15" s="510">
        <f t="shared" ref="BD15:BK15" si="48">BD8</f>
        <v>12</v>
      </c>
      <c r="BE15" s="510">
        <f t="shared" si="48"/>
        <v>12</v>
      </c>
      <c r="BF15" s="510">
        <f t="shared" si="48"/>
        <v>12</v>
      </c>
      <c r="BG15" s="510">
        <f t="shared" si="48"/>
        <v>12</v>
      </c>
      <c r="BH15" s="510">
        <f t="shared" si="48"/>
        <v>12</v>
      </c>
      <c r="BI15" s="510">
        <f t="shared" si="48"/>
        <v>12</v>
      </c>
      <c r="BJ15" s="510">
        <f t="shared" si="48"/>
        <v>12</v>
      </c>
      <c r="BK15" s="510">
        <f t="shared" si="48"/>
        <v>12</v>
      </c>
      <c r="BM15" s="125">
        <f t="shared" si="30"/>
        <v>0</v>
      </c>
      <c r="BN15" s="125">
        <f t="shared" si="30"/>
        <v>142.53535091722955</v>
      </c>
      <c r="BO15" s="125">
        <f t="shared" si="30"/>
        <v>220.89124273676777</v>
      </c>
      <c r="BP15" s="125">
        <f t="shared" si="30"/>
        <v>468</v>
      </c>
      <c r="BQ15" s="125">
        <f t="shared" si="30"/>
        <v>514.79999999999995</v>
      </c>
      <c r="BR15" s="125">
        <f t="shared" si="18"/>
        <v>566.28</v>
      </c>
      <c r="BS15" s="125">
        <f t="shared" si="18"/>
        <v>566.28</v>
      </c>
      <c r="BT15" s="125">
        <f t="shared" si="18"/>
        <v>566.28</v>
      </c>
      <c r="BU15" s="125">
        <f t="shared" si="18"/>
        <v>566.28</v>
      </c>
      <c r="BV15" s="125">
        <f t="shared" si="18"/>
        <v>566.28</v>
      </c>
      <c r="BX15" s="511">
        <v>2.1134784556925732</v>
      </c>
      <c r="BY15" s="511">
        <v>2.1134784556925732</v>
      </c>
      <c r="BZ15" s="511">
        <v>2.1134784556925732</v>
      </c>
      <c r="CA15" s="511">
        <f t="shared" ref="CA15:CG16" si="49">BZ15*(1+$CB$4)</f>
        <v>2.1874502016418131</v>
      </c>
      <c r="CB15" s="511">
        <f t="shared" si="49"/>
        <v>2.2640109586992763</v>
      </c>
      <c r="CC15" s="511">
        <f t="shared" si="49"/>
        <v>2.3432513422537506</v>
      </c>
      <c r="CD15" s="511">
        <f t="shared" si="49"/>
        <v>2.4252651392326317</v>
      </c>
      <c r="CE15" s="511">
        <f t="shared" si="49"/>
        <v>2.5101494191057734</v>
      </c>
      <c r="CF15" s="511">
        <f t="shared" si="49"/>
        <v>2.5980046487744755</v>
      </c>
      <c r="CG15" s="511">
        <f t="shared" si="49"/>
        <v>2.6889348114815821</v>
      </c>
      <c r="CI15" s="128">
        <f t="shared" si="21"/>
        <v>0</v>
      </c>
      <c r="CJ15" s="128">
        <f t="shared" si="21"/>
        <v>301.24539333814533</v>
      </c>
      <c r="CK15" s="128">
        <f t="shared" si="21"/>
        <v>466.84888257531725</v>
      </c>
      <c r="CL15" s="128">
        <f t="shared" si="21"/>
        <v>1023.7266943683685</v>
      </c>
      <c r="CM15" s="128">
        <f t="shared" si="21"/>
        <v>1165.5128415383874</v>
      </c>
      <c r="CN15" s="128">
        <f t="shared" si="21"/>
        <v>1326.9363700914539</v>
      </c>
      <c r="CO15" s="128">
        <f t="shared" si="21"/>
        <v>1373.3791430446545</v>
      </c>
      <c r="CP15" s="128">
        <f t="shared" si="21"/>
        <v>1421.4474130512174</v>
      </c>
      <c r="CQ15" s="128">
        <f t="shared" si="21"/>
        <v>1471.19807250801</v>
      </c>
      <c r="CR15" s="128">
        <f t="shared" si="21"/>
        <v>1522.6900050457903</v>
      </c>
      <c r="CT15" s="125">
        <f t="shared" si="22"/>
        <v>0</v>
      </c>
      <c r="CU15" s="125">
        <f t="shared" si="22"/>
        <v>0.71581253230632691</v>
      </c>
      <c r="CV15" s="125">
        <f t="shared" si="22"/>
        <v>1.1093158210240481</v>
      </c>
      <c r="CW15" s="125">
        <f t="shared" si="22"/>
        <v>2.3502960000000002</v>
      </c>
      <c r="CX15" s="125">
        <f t="shared" si="22"/>
        <v>2.5853256000000004</v>
      </c>
      <c r="CY15" s="125">
        <f t="shared" si="22"/>
        <v>2.8438581600000004</v>
      </c>
      <c r="CZ15" s="125">
        <f t="shared" si="22"/>
        <v>2.8438581600000004</v>
      </c>
      <c r="DA15" s="125">
        <f t="shared" si="22"/>
        <v>2.8438581600000004</v>
      </c>
      <c r="DB15" s="125">
        <f t="shared" si="22"/>
        <v>2.8438581600000004</v>
      </c>
      <c r="DC15" s="125">
        <f t="shared" si="22"/>
        <v>2.8438581600000004</v>
      </c>
      <c r="DE15" s="127">
        <f t="shared" si="23"/>
        <v>0</v>
      </c>
      <c r="DF15" s="127">
        <f t="shared" si="23"/>
        <v>6.3067715297205618E-2</v>
      </c>
      <c r="DG15" s="127">
        <f t="shared" si="23"/>
        <v>3.9962127754713174E-2</v>
      </c>
      <c r="DH15" s="127">
        <f t="shared" si="23"/>
        <v>2.340966256896574E-2</v>
      </c>
      <c r="DI15" s="127">
        <f t="shared" si="23"/>
        <v>1.2858088192336341E-2</v>
      </c>
      <c r="DJ15" s="127">
        <f t="shared" si="23"/>
        <v>6.142264655005971E-3</v>
      </c>
      <c r="DK15" s="127">
        <f t="shared" si="23"/>
        <v>5.8160697789833181E-3</v>
      </c>
      <c r="DL15" s="127">
        <f t="shared" si="23"/>
        <v>5.5055604438845321E-3</v>
      </c>
      <c r="DM15" s="127">
        <f t="shared" si="23"/>
        <v>5.2101538936392324E-3</v>
      </c>
      <c r="DN15" s="127">
        <f t="shared" si="23"/>
        <v>4.9292706894611968E-3</v>
      </c>
      <c r="DP15" s="127">
        <v>0.24</v>
      </c>
      <c r="DQ15" s="512">
        <f t="shared" si="34"/>
        <v>-6.500000000000148E-3</v>
      </c>
      <c r="DR15" s="506">
        <f t="shared" si="34"/>
        <v>0.05</v>
      </c>
      <c r="DS15" s="506">
        <f t="shared" si="31"/>
        <v>0.1</v>
      </c>
      <c r="DT15" s="506">
        <f t="shared" si="31"/>
        <v>0.15000000000000002</v>
      </c>
      <c r="DU15" s="506">
        <f t="shared" si="35"/>
        <v>0.22</v>
      </c>
      <c r="DV15" s="506">
        <f t="shared" si="35"/>
        <v>0.25</v>
      </c>
      <c r="DW15" s="506">
        <f t="shared" si="24"/>
        <v>0.25</v>
      </c>
      <c r="DX15" s="506">
        <f t="shared" si="24"/>
        <v>0.25</v>
      </c>
      <c r="DY15" s="506">
        <f t="shared" si="24"/>
        <v>0.25</v>
      </c>
      <c r="EA15" s="20">
        <f t="shared" si="32"/>
        <v>0</v>
      </c>
      <c r="EB15" s="20">
        <f t="shared" si="25"/>
        <v>303.2034883948433</v>
      </c>
      <c r="EC15" s="128">
        <f t="shared" si="25"/>
        <v>443.50643844655139</v>
      </c>
      <c r="ED15" s="128">
        <f t="shared" si="25"/>
        <v>921.35402493153163</v>
      </c>
      <c r="EE15" s="128">
        <f t="shared" si="25"/>
        <v>990.68591530762933</v>
      </c>
      <c r="EF15" s="128">
        <f t="shared" si="25"/>
        <v>1035.0103686713342</v>
      </c>
      <c r="EG15" s="128">
        <f t="shared" si="25"/>
        <v>1030.0343572834909</v>
      </c>
      <c r="EH15" s="128">
        <f t="shared" si="25"/>
        <v>1066.0855597884131</v>
      </c>
      <c r="EI15" s="128">
        <f t="shared" si="25"/>
        <v>1103.3985543810074</v>
      </c>
      <c r="EJ15" s="128">
        <f t="shared" si="25"/>
        <v>1142.0175037843428</v>
      </c>
    </row>
    <row r="16" spans="1:141" ht="15.75">
      <c r="B16" s="19" t="s">
        <v>175</v>
      </c>
      <c r="C16" s="124" t="s">
        <v>434</v>
      </c>
      <c r="D16" s="19" t="str">
        <f>$D$9</f>
        <v>Ice Cream Novelties</v>
      </c>
      <c r="E16" s="153">
        <f>E$9</f>
        <v>0.02</v>
      </c>
      <c r="F16" s="170">
        <f t="shared" ref="F16:H16" si="50">F$9</f>
        <v>0.25110000000000005</v>
      </c>
      <c r="G16" s="151">
        <f t="shared" si="50"/>
        <v>1</v>
      </c>
      <c r="H16" s="19" t="str">
        <f t="shared" si="50"/>
        <v>Novelty</v>
      </c>
      <c r="J16" s="510">
        <f>J9</f>
        <v>0</v>
      </c>
      <c r="K16" s="510">
        <f t="shared" si="45"/>
        <v>4</v>
      </c>
      <c r="L16" s="510">
        <f t="shared" si="45"/>
        <v>4.5</v>
      </c>
      <c r="M16" s="510">
        <f t="shared" si="45"/>
        <v>5.5</v>
      </c>
      <c r="N16" s="510">
        <f t="shared" si="45"/>
        <v>6.5</v>
      </c>
      <c r="O16" s="510">
        <f t="shared" si="45"/>
        <v>6.5</v>
      </c>
      <c r="P16" s="510">
        <f t="shared" si="45"/>
        <v>6.5</v>
      </c>
      <c r="Q16" s="510">
        <f t="shared" si="45"/>
        <v>6.5</v>
      </c>
      <c r="R16" s="510">
        <f t="shared" si="45"/>
        <v>6.5</v>
      </c>
      <c r="S16" s="510">
        <f t="shared" si="45"/>
        <v>6.5</v>
      </c>
      <c r="T16" s="510">
        <f t="shared" si="45"/>
        <v>0</v>
      </c>
      <c r="U16" s="125"/>
      <c r="V16" s="125">
        <v>52</v>
      </c>
      <c r="W16" s="125">
        <v>52</v>
      </c>
      <c r="X16" s="125">
        <v>52</v>
      </c>
      <c r="Y16" s="125">
        <v>52</v>
      </c>
      <c r="Z16" s="508">
        <f t="shared" si="46"/>
        <v>52</v>
      </c>
      <c r="AA16" s="508">
        <f t="shared" si="46"/>
        <v>52</v>
      </c>
      <c r="AB16" s="508">
        <f t="shared" si="46"/>
        <v>52</v>
      </c>
      <c r="AC16" s="508">
        <f t="shared" si="46"/>
        <v>52</v>
      </c>
      <c r="AD16" s="508">
        <f t="shared" si="46"/>
        <v>52</v>
      </c>
      <c r="AF16" s="165">
        <v>1</v>
      </c>
      <c r="AG16" s="165">
        <v>1</v>
      </c>
      <c r="AH16" s="165">
        <v>1</v>
      </c>
      <c r="AI16" s="165">
        <v>1</v>
      </c>
      <c r="AJ16" s="165">
        <v>1</v>
      </c>
      <c r="AK16" s="509">
        <f t="shared" si="27"/>
        <v>1</v>
      </c>
      <c r="AL16" s="509">
        <f t="shared" si="27"/>
        <v>1</v>
      </c>
      <c r="AM16" s="509">
        <f t="shared" si="27"/>
        <v>1</v>
      </c>
      <c r="AN16" s="509">
        <f t="shared" si="27"/>
        <v>1</v>
      </c>
      <c r="AO16" s="509">
        <f t="shared" si="14"/>
        <v>1</v>
      </c>
      <c r="AQ16" s="152"/>
      <c r="AR16" s="508">
        <f>AR15</f>
        <v>150</v>
      </c>
      <c r="AS16" s="508">
        <f t="shared" ref="AS16:AV16" si="51">AS15</f>
        <v>175</v>
      </c>
      <c r="AT16" s="508">
        <f t="shared" si="51"/>
        <v>250</v>
      </c>
      <c r="AU16" s="508">
        <f t="shared" si="51"/>
        <v>275</v>
      </c>
      <c r="AV16" s="508">
        <f t="shared" si="51"/>
        <v>302.5</v>
      </c>
      <c r="AW16" s="510">
        <f>AV16</f>
        <v>302.5</v>
      </c>
      <c r="AX16" s="510">
        <f t="shared" si="47"/>
        <v>302.5</v>
      </c>
      <c r="AY16" s="510">
        <f t="shared" si="47"/>
        <v>302.5</v>
      </c>
      <c r="AZ16" s="510">
        <f t="shared" si="47"/>
        <v>302.5</v>
      </c>
      <c r="BB16" s="152"/>
      <c r="BC16" s="510">
        <f>BC15</f>
        <v>12</v>
      </c>
      <c r="BD16" s="510">
        <f>BC16</f>
        <v>12</v>
      </c>
      <c r="BE16" s="510">
        <f t="shared" ref="BE16:BK28" si="52">BD16</f>
        <v>12</v>
      </c>
      <c r="BF16" s="510">
        <f t="shared" si="52"/>
        <v>12</v>
      </c>
      <c r="BG16" s="510">
        <f t="shared" si="52"/>
        <v>12</v>
      </c>
      <c r="BH16" s="510">
        <f t="shared" si="52"/>
        <v>12</v>
      </c>
      <c r="BI16" s="510">
        <f t="shared" si="52"/>
        <v>12</v>
      </c>
      <c r="BJ16" s="510">
        <f t="shared" si="52"/>
        <v>12</v>
      </c>
      <c r="BK16" s="510">
        <f t="shared" si="52"/>
        <v>12</v>
      </c>
      <c r="BM16" s="125">
        <f t="shared" si="30"/>
        <v>0</v>
      </c>
      <c r="BN16" s="125">
        <f t="shared" si="30"/>
        <v>374.4</v>
      </c>
      <c r="BO16" s="125">
        <f t="shared" si="30"/>
        <v>491.4</v>
      </c>
      <c r="BP16" s="125">
        <f t="shared" si="30"/>
        <v>858</v>
      </c>
      <c r="BQ16" s="125">
        <f t="shared" si="30"/>
        <v>1115.4000000000001</v>
      </c>
      <c r="BR16" s="125">
        <f t="shared" si="18"/>
        <v>1226.94</v>
      </c>
      <c r="BS16" s="125">
        <f t="shared" si="18"/>
        <v>1226.94</v>
      </c>
      <c r="BT16" s="125">
        <f t="shared" si="18"/>
        <v>1226.94</v>
      </c>
      <c r="BU16" s="125">
        <f t="shared" si="18"/>
        <v>1226.94</v>
      </c>
      <c r="BV16" s="125">
        <f t="shared" si="18"/>
        <v>1226.94</v>
      </c>
      <c r="BX16" s="511">
        <v>0.8801034992356509</v>
      </c>
      <c r="BY16" s="511">
        <v>0.8801034992356509</v>
      </c>
      <c r="BZ16" s="511">
        <v>0.8801034992356509</v>
      </c>
      <c r="CA16" s="511">
        <f t="shared" si="49"/>
        <v>0.91090712170889865</v>
      </c>
      <c r="CB16" s="511">
        <f t="shared" si="49"/>
        <v>0.94278887096871</v>
      </c>
      <c r="CC16" s="511">
        <f t="shared" si="49"/>
        <v>0.97578648145261482</v>
      </c>
      <c r="CD16" s="511">
        <f t="shared" si="49"/>
        <v>1.0099390083034563</v>
      </c>
      <c r="CE16" s="511">
        <f t="shared" si="49"/>
        <v>1.0452868735940772</v>
      </c>
      <c r="CF16" s="511">
        <f t="shared" si="49"/>
        <v>1.0818719141698698</v>
      </c>
      <c r="CG16" s="511">
        <f t="shared" si="49"/>
        <v>1.1197374311658153</v>
      </c>
      <c r="CI16" s="128">
        <f t="shared" si="21"/>
        <v>0</v>
      </c>
      <c r="CJ16" s="128">
        <f t="shared" si="21"/>
        <v>329.51075011382767</v>
      </c>
      <c r="CK16" s="128">
        <f t="shared" si="21"/>
        <v>432.4828595243988</v>
      </c>
      <c r="CL16" s="128">
        <f t="shared" si="21"/>
        <v>781.55831042623504</v>
      </c>
      <c r="CM16" s="128">
        <f t="shared" si="21"/>
        <v>1051.5867066784992</v>
      </c>
      <c r="CN16" s="128">
        <f t="shared" si="21"/>
        <v>1197.2314655534713</v>
      </c>
      <c r="CO16" s="128">
        <f t="shared" si="21"/>
        <v>1239.1345668478427</v>
      </c>
      <c r="CP16" s="128">
        <f t="shared" si="21"/>
        <v>1282.5042766875172</v>
      </c>
      <c r="CQ16" s="128">
        <f t="shared" si="21"/>
        <v>1327.3919263715802</v>
      </c>
      <c r="CR16" s="128">
        <f t="shared" si="21"/>
        <v>1373.8506437945855</v>
      </c>
      <c r="CT16" s="125">
        <f t="shared" si="22"/>
        <v>0</v>
      </c>
      <c r="CU16" s="125">
        <f t="shared" si="22"/>
        <v>1.8802368000000003</v>
      </c>
      <c r="CV16" s="125">
        <f t="shared" si="22"/>
        <v>2.4678108000000001</v>
      </c>
      <c r="CW16" s="125">
        <f t="shared" si="22"/>
        <v>4.3088760000000006</v>
      </c>
      <c r="CX16" s="125">
        <f t="shared" si="22"/>
        <v>5.6015388000000019</v>
      </c>
      <c r="CY16" s="125">
        <f t="shared" si="22"/>
        <v>6.1616926800000016</v>
      </c>
      <c r="CZ16" s="125">
        <f t="shared" si="22"/>
        <v>6.1616926800000016</v>
      </c>
      <c r="DA16" s="125">
        <f t="shared" si="22"/>
        <v>6.1616926800000016</v>
      </c>
      <c r="DB16" s="125">
        <f t="shared" si="22"/>
        <v>6.1616926800000016</v>
      </c>
      <c r="DC16" s="125">
        <f t="shared" si="22"/>
        <v>6.1616926800000016</v>
      </c>
      <c r="DE16" s="127">
        <f t="shared" si="23"/>
        <v>0</v>
      </c>
      <c r="DF16" s="127">
        <f t="shared" si="23"/>
        <v>0.16566102693349119</v>
      </c>
      <c r="DG16" s="127">
        <f t="shared" si="23"/>
        <v>8.8900715733975844E-2</v>
      </c>
      <c r="DH16" s="127">
        <f t="shared" si="23"/>
        <v>4.291771470977053E-2</v>
      </c>
      <c r="DI16" s="127">
        <f t="shared" si="23"/>
        <v>2.7859191083395411E-2</v>
      </c>
      <c r="DJ16" s="127">
        <f t="shared" si="23"/>
        <v>1.3308240085846273E-2</v>
      </c>
      <c r="DK16" s="127">
        <f t="shared" si="23"/>
        <v>1.2601484521130525E-2</v>
      </c>
      <c r="DL16" s="127">
        <f t="shared" si="23"/>
        <v>1.1928714295083156E-2</v>
      </c>
      <c r="DM16" s="127">
        <f t="shared" si="23"/>
        <v>1.1288666769551672E-2</v>
      </c>
      <c r="DN16" s="127">
        <f t="shared" si="23"/>
        <v>1.0680086493832595E-2</v>
      </c>
      <c r="DP16" s="127">
        <v>0.24</v>
      </c>
      <c r="DQ16" s="512">
        <f t="shared" si="34"/>
        <v>-6.500000000000148E-3</v>
      </c>
      <c r="DR16" s="506">
        <f t="shared" si="34"/>
        <v>0.05</v>
      </c>
      <c r="DS16" s="506">
        <f t="shared" si="31"/>
        <v>0.1</v>
      </c>
      <c r="DT16" s="506">
        <f t="shared" si="31"/>
        <v>0.15000000000000002</v>
      </c>
      <c r="DU16" s="506">
        <f t="shared" si="35"/>
        <v>0.22</v>
      </c>
      <c r="DV16" s="506">
        <f t="shared" si="35"/>
        <v>0.25</v>
      </c>
      <c r="DW16" s="506">
        <f t="shared" si="24"/>
        <v>0.25</v>
      </c>
      <c r="DX16" s="506">
        <f t="shared" si="24"/>
        <v>0.25</v>
      </c>
      <c r="DY16" s="506">
        <f t="shared" si="24"/>
        <v>0.25</v>
      </c>
      <c r="EA16" s="20">
        <f t="shared" si="32"/>
        <v>0</v>
      </c>
      <c r="EB16" s="20">
        <f t="shared" si="25"/>
        <v>331.65256998956761</v>
      </c>
      <c r="EC16" s="128">
        <f t="shared" si="25"/>
        <v>410.85871654817885</v>
      </c>
      <c r="ED16" s="128">
        <f t="shared" si="25"/>
        <v>703.40247938361154</v>
      </c>
      <c r="EE16" s="128">
        <f t="shared" si="25"/>
        <v>893.84870067672432</v>
      </c>
      <c r="EF16" s="128">
        <f t="shared" si="25"/>
        <v>933.84054313170759</v>
      </c>
      <c r="EG16" s="128">
        <f t="shared" si="25"/>
        <v>929.35092513588211</v>
      </c>
      <c r="EH16" s="128">
        <f t="shared" si="25"/>
        <v>961.87820751563788</v>
      </c>
      <c r="EI16" s="128">
        <f t="shared" si="25"/>
        <v>995.54394477868516</v>
      </c>
      <c r="EJ16" s="128">
        <f t="shared" si="25"/>
        <v>1030.3879828459392</v>
      </c>
    </row>
    <row r="17" spans="2:140" ht="15.75">
      <c r="B17" s="19" t="s">
        <v>175</v>
      </c>
      <c r="C17" s="124" t="s">
        <v>434</v>
      </c>
      <c r="D17" s="19" t="str">
        <f>$D$10</f>
        <v>Cake Mix</v>
      </c>
      <c r="E17" s="153">
        <f>E$10</f>
        <v>0.18</v>
      </c>
      <c r="F17" s="170">
        <f t="shared" ref="F17:H17" si="53">F$10</f>
        <v>0.5</v>
      </c>
      <c r="G17" s="151">
        <f t="shared" si="53"/>
        <v>1</v>
      </c>
      <c r="H17" s="19" t="str">
        <f t="shared" si="53"/>
        <v>500gr</v>
      </c>
      <c r="J17" s="152"/>
      <c r="K17" s="152"/>
      <c r="L17" s="152"/>
      <c r="M17" s="152"/>
      <c r="N17" s="152"/>
      <c r="O17" s="152"/>
      <c r="P17" s="152"/>
      <c r="Q17" s="152"/>
      <c r="R17" s="152"/>
      <c r="S17" s="152"/>
      <c r="T17" s="152"/>
      <c r="U17" s="125"/>
      <c r="V17" s="125"/>
      <c r="W17" s="125"/>
      <c r="X17" s="125"/>
      <c r="Y17" s="125"/>
      <c r="Z17" s="508"/>
      <c r="AA17" s="508"/>
      <c r="AB17" s="508"/>
      <c r="AC17" s="508"/>
      <c r="AD17" s="508"/>
      <c r="AF17" s="165">
        <v>1</v>
      </c>
      <c r="AG17" s="165">
        <v>1</v>
      </c>
      <c r="AH17" s="165">
        <v>1</v>
      </c>
      <c r="AI17" s="165">
        <v>1</v>
      </c>
      <c r="AJ17" s="165">
        <v>1</v>
      </c>
      <c r="AK17" s="509">
        <f t="shared" si="27"/>
        <v>1</v>
      </c>
      <c r="AL17" s="509">
        <f t="shared" si="27"/>
        <v>1</v>
      </c>
      <c r="AM17" s="509">
        <f t="shared" si="27"/>
        <v>1</v>
      </c>
      <c r="AN17" s="509">
        <f t="shared" si="27"/>
        <v>1</v>
      </c>
      <c r="AO17" s="509">
        <f t="shared" si="14"/>
        <v>1</v>
      </c>
      <c r="AQ17" s="152"/>
      <c r="AR17" s="152"/>
      <c r="AS17" s="152"/>
      <c r="AT17" s="152"/>
      <c r="AU17" s="152"/>
      <c r="AV17" s="152"/>
      <c r="AW17" s="510">
        <f t="shared" ref="AW17:AZ28" si="54">AV17*(1+$AW$6)</f>
        <v>0</v>
      </c>
      <c r="AX17" s="510">
        <f t="shared" si="54"/>
        <v>0</v>
      </c>
      <c r="AY17" s="510">
        <f t="shared" si="54"/>
        <v>0</v>
      </c>
      <c r="AZ17" s="510">
        <f t="shared" si="54"/>
        <v>0</v>
      </c>
      <c r="BB17" s="152"/>
      <c r="BC17" s="152">
        <v>4</v>
      </c>
      <c r="BD17" s="152">
        <v>6</v>
      </c>
      <c r="BE17" s="152">
        <v>6</v>
      </c>
      <c r="BF17" s="152">
        <v>6</v>
      </c>
      <c r="BG17" s="508">
        <f t="shared" si="52"/>
        <v>6</v>
      </c>
      <c r="BH17" s="508">
        <f t="shared" si="52"/>
        <v>6</v>
      </c>
      <c r="BI17" s="508">
        <f t="shared" si="52"/>
        <v>6</v>
      </c>
      <c r="BJ17" s="508">
        <f t="shared" si="52"/>
        <v>6</v>
      </c>
      <c r="BK17" s="508">
        <f t="shared" si="52"/>
        <v>6</v>
      </c>
      <c r="BM17" s="125">
        <f t="shared" si="30"/>
        <v>0</v>
      </c>
      <c r="BN17" s="125">
        <f t="shared" si="30"/>
        <v>0</v>
      </c>
      <c r="BO17" s="125">
        <f t="shared" si="30"/>
        <v>0</v>
      </c>
      <c r="BP17" s="125">
        <f t="shared" si="30"/>
        <v>0</v>
      </c>
      <c r="BQ17" s="125">
        <f t="shared" si="30"/>
        <v>0</v>
      </c>
      <c r="BR17" s="125">
        <f t="shared" si="18"/>
        <v>0</v>
      </c>
      <c r="BS17" s="125">
        <f t="shared" si="18"/>
        <v>0</v>
      </c>
      <c r="BT17" s="125">
        <f t="shared" si="18"/>
        <v>0</v>
      </c>
      <c r="BU17" s="125">
        <f t="shared" si="18"/>
        <v>0</v>
      </c>
      <c r="BV17" s="125">
        <f t="shared" si="18"/>
        <v>0</v>
      </c>
      <c r="BX17" s="160"/>
      <c r="BY17" s="159"/>
      <c r="BZ17" s="159"/>
      <c r="CA17" s="511"/>
      <c r="CB17" s="511"/>
      <c r="CC17" s="511"/>
      <c r="CD17" s="511"/>
      <c r="CE17" s="511"/>
      <c r="CF17" s="511"/>
      <c r="CG17" s="511"/>
      <c r="CI17" s="128">
        <f t="shared" si="21"/>
        <v>0</v>
      </c>
      <c r="CJ17" s="128">
        <f t="shared" si="21"/>
        <v>0</v>
      </c>
      <c r="CK17" s="128">
        <f t="shared" si="21"/>
        <v>0</v>
      </c>
      <c r="CL17" s="128">
        <f t="shared" si="21"/>
        <v>0</v>
      </c>
      <c r="CM17" s="128">
        <f t="shared" si="21"/>
        <v>0</v>
      </c>
      <c r="CN17" s="128">
        <f t="shared" si="21"/>
        <v>0</v>
      </c>
      <c r="CO17" s="128">
        <f t="shared" si="21"/>
        <v>0</v>
      </c>
      <c r="CP17" s="128">
        <f t="shared" si="21"/>
        <v>0</v>
      </c>
      <c r="CQ17" s="128">
        <f t="shared" si="21"/>
        <v>0</v>
      </c>
      <c r="CR17" s="128">
        <f t="shared" si="21"/>
        <v>0</v>
      </c>
      <c r="CT17" s="125">
        <f t="shared" si="22"/>
        <v>0</v>
      </c>
      <c r="CU17" s="125">
        <f t="shared" si="22"/>
        <v>0</v>
      </c>
      <c r="CV17" s="125">
        <f t="shared" si="22"/>
        <v>0</v>
      </c>
      <c r="CW17" s="125">
        <f t="shared" si="22"/>
        <v>0</v>
      </c>
      <c r="CX17" s="125">
        <f t="shared" si="22"/>
        <v>0</v>
      </c>
      <c r="CY17" s="125">
        <f t="shared" si="22"/>
        <v>0</v>
      </c>
      <c r="CZ17" s="125">
        <f t="shared" si="22"/>
        <v>0</v>
      </c>
      <c r="DA17" s="125">
        <f t="shared" si="22"/>
        <v>0</v>
      </c>
      <c r="DB17" s="125">
        <f t="shared" si="22"/>
        <v>0</v>
      </c>
      <c r="DC17" s="125">
        <f t="shared" si="22"/>
        <v>0</v>
      </c>
      <c r="DE17" s="127">
        <f t="shared" si="23"/>
        <v>0</v>
      </c>
      <c r="DF17" s="127">
        <f t="shared" si="23"/>
        <v>0</v>
      </c>
      <c r="DG17" s="127">
        <f t="shared" si="23"/>
        <v>0</v>
      </c>
      <c r="DH17" s="127">
        <f t="shared" si="23"/>
        <v>0</v>
      </c>
      <c r="DI17" s="127">
        <f t="shared" si="23"/>
        <v>0</v>
      </c>
      <c r="DJ17" s="127">
        <f t="shared" si="23"/>
        <v>0</v>
      </c>
      <c r="DK17" s="127">
        <f t="shared" si="23"/>
        <v>0</v>
      </c>
      <c r="DL17" s="127">
        <f t="shared" si="23"/>
        <v>0</v>
      </c>
      <c r="DM17" s="127">
        <f t="shared" si="23"/>
        <v>0</v>
      </c>
      <c r="DN17" s="127">
        <f t="shared" si="23"/>
        <v>0</v>
      </c>
      <c r="DP17" s="127">
        <v>0.24</v>
      </c>
      <c r="DQ17" s="512">
        <f t="shared" si="34"/>
        <v>-6.500000000000148E-3</v>
      </c>
      <c r="DR17" s="506">
        <f t="shared" si="34"/>
        <v>0.05</v>
      </c>
      <c r="DS17" s="506">
        <f t="shared" si="31"/>
        <v>0.1</v>
      </c>
      <c r="DT17" s="506">
        <f t="shared" si="31"/>
        <v>0.15000000000000002</v>
      </c>
      <c r="DU17" s="506">
        <f t="shared" si="35"/>
        <v>0.22</v>
      </c>
      <c r="DV17" s="506">
        <f t="shared" si="35"/>
        <v>0.25</v>
      </c>
      <c r="DW17" s="506">
        <f t="shared" si="24"/>
        <v>0.25</v>
      </c>
      <c r="DX17" s="506">
        <f t="shared" si="24"/>
        <v>0.25</v>
      </c>
      <c r="DY17" s="506">
        <f t="shared" si="24"/>
        <v>0.25</v>
      </c>
      <c r="EA17" s="20">
        <f t="shared" si="32"/>
        <v>0</v>
      </c>
      <c r="EB17" s="20">
        <f t="shared" si="25"/>
        <v>0</v>
      </c>
      <c r="EC17" s="128">
        <f t="shared" si="25"/>
        <v>0</v>
      </c>
      <c r="ED17" s="128">
        <f t="shared" si="25"/>
        <v>0</v>
      </c>
      <c r="EE17" s="128">
        <f t="shared" si="25"/>
        <v>0</v>
      </c>
      <c r="EF17" s="128">
        <f t="shared" si="25"/>
        <v>0</v>
      </c>
      <c r="EG17" s="128">
        <f t="shared" si="25"/>
        <v>0</v>
      </c>
      <c r="EH17" s="128">
        <f t="shared" si="25"/>
        <v>0</v>
      </c>
      <c r="EI17" s="128">
        <f t="shared" si="25"/>
        <v>0</v>
      </c>
      <c r="EJ17" s="128">
        <f t="shared" si="25"/>
        <v>0</v>
      </c>
    </row>
    <row r="18" spans="2:140" ht="15.75">
      <c r="B18" s="19" t="s">
        <v>175</v>
      </c>
      <c r="C18" s="124" t="s">
        <v>434</v>
      </c>
      <c r="D18" s="19" t="str">
        <f>$D$11</f>
        <v>Milk Barista</v>
      </c>
      <c r="E18" s="153">
        <f>E$11</f>
        <v>0.02</v>
      </c>
      <c r="F18" s="170">
        <f t="shared" ref="F18:H18" si="55">F$11</f>
        <v>1</v>
      </c>
      <c r="G18" s="151">
        <f t="shared" si="55"/>
        <v>1</v>
      </c>
      <c r="H18" s="19" t="str">
        <f t="shared" si="55"/>
        <v>1L</v>
      </c>
      <c r="J18" s="510">
        <f>J11</f>
        <v>3.600280997541272</v>
      </c>
      <c r="K18" s="510">
        <f t="shared" si="45"/>
        <v>6</v>
      </c>
      <c r="L18" s="510">
        <f t="shared" si="45"/>
        <v>8</v>
      </c>
      <c r="M18" s="510">
        <f t="shared" si="45"/>
        <v>8</v>
      </c>
      <c r="N18" s="510">
        <f t="shared" si="45"/>
        <v>8</v>
      </c>
      <c r="O18" s="510">
        <f t="shared" si="45"/>
        <v>8</v>
      </c>
      <c r="P18" s="510">
        <f t="shared" si="45"/>
        <v>8</v>
      </c>
      <c r="Q18" s="510">
        <f t="shared" si="45"/>
        <v>8</v>
      </c>
      <c r="R18" s="510">
        <f t="shared" si="45"/>
        <v>8</v>
      </c>
      <c r="S18" s="510">
        <f t="shared" si="45"/>
        <v>8</v>
      </c>
      <c r="T18" s="510">
        <f t="shared" si="45"/>
        <v>0</v>
      </c>
      <c r="U18" s="152">
        <v>12</v>
      </c>
      <c r="V18" s="152">
        <v>52</v>
      </c>
      <c r="W18" s="152">
        <v>52</v>
      </c>
      <c r="X18" s="125">
        <v>52</v>
      </c>
      <c r="Y18" s="125">
        <v>52</v>
      </c>
      <c r="Z18" s="508">
        <f t="shared" ref="Z18:AD19" si="56">Y18</f>
        <v>52</v>
      </c>
      <c r="AA18" s="508">
        <f t="shared" si="56"/>
        <v>52</v>
      </c>
      <c r="AB18" s="508">
        <f t="shared" si="56"/>
        <v>52</v>
      </c>
      <c r="AC18" s="508">
        <f t="shared" si="56"/>
        <v>52</v>
      </c>
      <c r="AD18" s="508">
        <f t="shared" si="56"/>
        <v>52</v>
      </c>
      <c r="AF18" s="165">
        <v>1</v>
      </c>
      <c r="AG18" s="165">
        <v>1</v>
      </c>
      <c r="AH18" s="165">
        <v>1</v>
      </c>
      <c r="AI18" s="165">
        <v>1</v>
      </c>
      <c r="AJ18" s="165">
        <v>1</v>
      </c>
      <c r="AK18" s="509">
        <f t="shared" si="27"/>
        <v>1</v>
      </c>
      <c r="AL18" s="509">
        <f t="shared" si="27"/>
        <v>1</v>
      </c>
      <c r="AM18" s="509">
        <f t="shared" si="27"/>
        <v>1</v>
      </c>
      <c r="AN18" s="509">
        <f t="shared" si="27"/>
        <v>1</v>
      </c>
      <c r="AO18" s="509">
        <f t="shared" si="14"/>
        <v>1</v>
      </c>
      <c r="AQ18" s="152"/>
      <c r="AR18" s="152">
        <v>200</v>
      </c>
      <c r="AS18" s="152">
        <v>250</v>
      </c>
      <c r="AT18" s="152">
        <v>600</v>
      </c>
      <c r="AU18" s="152">
        <v>660</v>
      </c>
      <c r="AV18" s="152">
        <v>726.00000000000011</v>
      </c>
      <c r="AW18" s="510">
        <f t="shared" si="54"/>
        <v>771.01200000000017</v>
      </c>
      <c r="AX18" s="510">
        <f t="shared" si="54"/>
        <v>818.81474400000025</v>
      </c>
      <c r="AY18" s="510">
        <f t="shared" si="54"/>
        <v>869.58125812800029</v>
      </c>
      <c r="AZ18" s="510">
        <f t="shared" si="54"/>
        <v>923.49529613193636</v>
      </c>
      <c r="BB18" s="152">
        <v>1</v>
      </c>
      <c r="BC18" s="152">
        <v>2</v>
      </c>
      <c r="BD18" s="152">
        <v>2</v>
      </c>
      <c r="BE18" s="152">
        <v>3</v>
      </c>
      <c r="BF18" s="152">
        <v>3</v>
      </c>
      <c r="BG18" s="508">
        <f t="shared" si="52"/>
        <v>3</v>
      </c>
      <c r="BH18" s="508">
        <f t="shared" si="52"/>
        <v>3</v>
      </c>
      <c r="BI18" s="508">
        <f t="shared" si="52"/>
        <v>3</v>
      </c>
      <c r="BJ18" s="508">
        <f t="shared" si="52"/>
        <v>3</v>
      </c>
      <c r="BK18" s="508">
        <f t="shared" si="52"/>
        <v>3</v>
      </c>
      <c r="BM18" s="125">
        <f t="shared" si="30"/>
        <v>0</v>
      </c>
      <c r="BN18" s="125">
        <f t="shared" si="30"/>
        <v>124.8</v>
      </c>
      <c r="BO18" s="125">
        <f t="shared" si="30"/>
        <v>208</v>
      </c>
      <c r="BP18" s="125">
        <f t="shared" si="30"/>
        <v>748.8</v>
      </c>
      <c r="BQ18" s="125">
        <f t="shared" si="30"/>
        <v>823.68</v>
      </c>
      <c r="BR18" s="125">
        <f t="shared" si="18"/>
        <v>906.04800000000023</v>
      </c>
      <c r="BS18" s="125">
        <f t="shared" si="18"/>
        <v>962.22297600000024</v>
      </c>
      <c r="BT18" s="125">
        <f t="shared" si="18"/>
        <v>1021.8808005120002</v>
      </c>
      <c r="BU18" s="125">
        <f t="shared" si="18"/>
        <v>1085.2374101437445</v>
      </c>
      <c r="BV18" s="125">
        <f t="shared" si="18"/>
        <v>1152.5221295726565</v>
      </c>
      <c r="BX18" s="160">
        <v>1.63</v>
      </c>
      <c r="BY18" s="159">
        <v>1.63</v>
      </c>
      <c r="BZ18" s="159">
        <v>1.63</v>
      </c>
      <c r="CA18" s="511">
        <f t="shared" ref="CA18:CG19" si="57">BZ18*(1+$CB$4)</f>
        <v>1.6870499999999997</v>
      </c>
      <c r="CB18" s="511">
        <f t="shared" si="57"/>
        <v>1.7460967499999995</v>
      </c>
      <c r="CC18" s="511">
        <f t="shared" si="57"/>
        <v>1.8072101362499993</v>
      </c>
      <c r="CD18" s="511">
        <f t="shared" si="57"/>
        <v>1.8704624910187491</v>
      </c>
      <c r="CE18" s="511">
        <f t="shared" si="57"/>
        <v>1.9359286782044052</v>
      </c>
      <c r="CF18" s="511">
        <f t="shared" si="57"/>
        <v>2.0036861819415592</v>
      </c>
      <c r="CG18" s="511">
        <f t="shared" si="57"/>
        <v>2.0738151983095134</v>
      </c>
      <c r="CI18" s="128">
        <f t="shared" si="21"/>
        <v>0</v>
      </c>
      <c r="CJ18" s="128">
        <f t="shared" si="21"/>
        <v>203.42399999999998</v>
      </c>
      <c r="CK18" s="128">
        <f t="shared" si="21"/>
        <v>339.03999999999996</v>
      </c>
      <c r="CL18" s="128">
        <f t="shared" si="21"/>
        <v>1263.2630399999998</v>
      </c>
      <c r="CM18" s="128">
        <f t="shared" si="21"/>
        <v>1438.2249710399994</v>
      </c>
      <c r="CN18" s="128">
        <f t="shared" si="21"/>
        <v>1637.4191295290398</v>
      </c>
      <c r="CO18" s="128">
        <f t="shared" si="21"/>
        <v>1799.8019846044344</v>
      </c>
      <c r="CP18" s="128">
        <f t="shared" si="21"/>
        <v>1978.288347417656</v>
      </c>
      <c r="CQ18" s="128">
        <f t="shared" si="21"/>
        <v>2174.4752028310654</v>
      </c>
      <c r="CR18" s="128">
        <f t="shared" si="21"/>
        <v>2390.1179086958214</v>
      </c>
      <c r="CT18" s="125">
        <f t="shared" si="22"/>
        <v>0</v>
      </c>
      <c r="CU18" s="125">
        <f t="shared" si="22"/>
        <v>2.496</v>
      </c>
      <c r="CV18" s="125">
        <f t="shared" si="22"/>
        <v>4.16</v>
      </c>
      <c r="CW18" s="125">
        <f t="shared" si="22"/>
        <v>14.975999999999999</v>
      </c>
      <c r="CX18" s="125">
        <f t="shared" si="22"/>
        <v>16.473599999999998</v>
      </c>
      <c r="CY18" s="125">
        <f t="shared" si="22"/>
        <v>18.120960000000004</v>
      </c>
      <c r="CZ18" s="125">
        <f t="shared" si="22"/>
        <v>19.244459520000007</v>
      </c>
      <c r="DA18" s="125">
        <f t="shared" si="22"/>
        <v>20.437616010240003</v>
      </c>
      <c r="DB18" s="125">
        <f t="shared" si="22"/>
        <v>21.704748202874889</v>
      </c>
      <c r="DC18" s="125">
        <f t="shared" si="22"/>
        <v>23.05044259145313</v>
      </c>
      <c r="DE18" s="127">
        <f t="shared" si="23"/>
        <v>0</v>
      </c>
      <c r="DF18" s="127">
        <f t="shared" si="23"/>
        <v>0.21991374875015424</v>
      </c>
      <c r="DG18" s="127">
        <f t="shared" si="23"/>
        <v>0.1498603448260051</v>
      </c>
      <c r="DH18" s="127">
        <f t="shared" si="23"/>
        <v>0.14916551218775462</v>
      </c>
      <c r="DI18" s="127">
        <f t="shared" si="23"/>
        <v>8.1931266856782717E-2</v>
      </c>
      <c r="DJ18" s="127">
        <f t="shared" si="23"/>
        <v>3.9138285336557367E-2</v>
      </c>
      <c r="DK18" s="127">
        <f t="shared" si="23"/>
        <v>3.9357490117277807E-2</v>
      </c>
      <c r="DL18" s="127">
        <f t="shared" si="23"/>
        <v>3.9566154126786185E-2</v>
      </c>
      <c r="DM18" s="127">
        <f t="shared" si="23"/>
        <v>3.9764668980420498E-2</v>
      </c>
      <c r="DN18" s="127">
        <f t="shared" si="23"/>
        <v>3.9953424064285224E-2</v>
      </c>
      <c r="DP18" s="127">
        <v>0.24</v>
      </c>
      <c r="DQ18" s="512">
        <f t="shared" si="34"/>
        <v>-6.500000000000148E-3</v>
      </c>
      <c r="DR18" s="506">
        <f t="shared" si="34"/>
        <v>0.05</v>
      </c>
      <c r="DS18" s="506">
        <f t="shared" si="31"/>
        <v>0.1</v>
      </c>
      <c r="DT18" s="506">
        <f t="shared" si="31"/>
        <v>0.15000000000000002</v>
      </c>
      <c r="DU18" s="506">
        <f t="shared" si="35"/>
        <v>0.22</v>
      </c>
      <c r="DV18" s="506">
        <f t="shared" si="35"/>
        <v>0.25</v>
      </c>
      <c r="DW18" s="506">
        <f t="shared" si="24"/>
        <v>0.25</v>
      </c>
      <c r="DX18" s="506">
        <f t="shared" si="24"/>
        <v>0.25</v>
      </c>
      <c r="DY18" s="506">
        <f t="shared" si="24"/>
        <v>0.25</v>
      </c>
      <c r="EA18" s="20">
        <f t="shared" si="32"/>
        <v>0</v>
      </c>
      <c r="EB18" s="20">
        <f t="shared" si="25"/>
        <v>204.74625600000002</v>
      </c>
      <c r="EC18" s="128">
        <f t="shared" si="25"/>
        <v>322.08799999999997</v>
      </c>
      <c r="ED18" s="128">
        <f t="shared" si="25"/>
        <v>1136.9367359999999</v>
      </c>
      <c r="EE18" s="128">
        <f t="shared" si="25"/>
        <v>1222.4912253839996</v>
      </c>
      <c r="EF18" s="128">
        <f t="shared" si="25"/>
        <v>1277.1869210326511</v>
      </c>
      <c r="EG18" s="128">
        <f t="shared" si="25"/>
        <v>1349.8514884533258</v>
      </c>
      <c r="EH18" s="128">
        <f t="shared" si="25"/>
        <v>1483.716260563242</v>
      </c>
      <c r="EI18" s="128">
        <f t="shared" si="25"/>
        <v>1630.8564021232992</v>
      </c>
      <c r="EJ18" s="128">
        <f t="shared" si="25"/>
        <v>1792.5884315218659</v>
      </c>
    </row>
    <row r="19" spans="2:140" ht="15.75">
      <c r="B19" s="19" t="s">
        <v>175</v>
      </c>
      <c r="C19" s="124" t="s">
        <v>434</v>
      </c>
      <c r="D19" s="19" t="str">
        <f>$D$12</f>
        <v>Milk</v>
      </c>
      <c r="E19" s="153">
        <f>E$12</f>
        <v>0.02</v>
      </c>
      <c r="F19" s="170">
        <f t="shared" ref="F19:H19" si="58">F$12</f>
        <v>1</v>
      </c>
      <c r="G19" s="151">
        <f t="shared" si="58"/>
        <v>1</v>
      </c>
      <c r="H19" s="19" t="str">
        <f t="shared" si="58"/>
        <v>1L</v>
      </c>
      <c r="J19" s="510">
        <f>J12</f>
        <v>0</v>
      </c>
      <c r="K19" s="510">
        <f t="shared" si="45"/>
        <v>4</v>
      </c>
      <c r="L19" s="510">
        <f t="shared" si="45"/>
        <v>4.5</v>
      </c>
      <c r="M19" s="510">
        <f t="shared" si="45"/>
        <v>5.5</v>
      </c>
      <c r="N19" s="510">
        <f t="shared" si="45"/>
        <v>6.5</v>
      </c>
      <c r="O19" s="510">
        <f t="shared" si="45"/>
        <v>7.5</v>
      </c>
      <c r="P19" s="510">
        <f t="shared" si="45"/>
        <v>7.5</v>
      </c>
      <c r="Q19" s="510">
        <f t="shared" si="45"/>
        <v>7.5</v>
      </c>
      <c r="R19" s="510">
        <f t="shared" si="45"/>
        <v>7.5</v>
      </c>
      <c r="S19" s="510">
        <f t="shared" si="45"/>
        <v>7.5</v>
      </c>
      <c r="T19" s="510">
        <f t="shared" si="45"/>
        <v>0</v>
      </c>
      <c r="U19" s="152"/>
      <c r="V19" s="152">
        <v>52</v>
      </c>
      <c r="W19" s="152">
        <v>52</v>
      </c>
      <c r="X19" s="125">
        <v>52</v>
      </c>
      <c r="Y19" s="125">
        <v>52</v>
      </c>
      <c r="Z19" s="508">
        <f t="shared" si="56"/>
        <v>52</v>
      </c>
      <c r="AA19" s="508">
        <f t="shared" si="56"/>
        <v>52</v>
      </c>
      <c r="AB19" s="508">
        <f t="shared" si="56"/>
        <v>52</v>
      </c>
      <c r="AC19" s="508">
        <f t="shared" si="56"/>
        <v>52</v>
      </c>
      <c r="AD19" s="508">
        <f t="shared" si="56"/>
        <v>52</v>
      </c>
      <c r="AF19" s="165">
        <v>1</v>
      </c>
      <c r="AG19" s="165">
        <v>1</v>
      </c>
      <c r="AH19" s="165">
        <v>1</v>
      </c>
      <c r="AI19" s="165">
        <v>1</v>
      </c>
      <c r="AJ19" s="165">
        <v>1</v>
      </c>
      <c r="AK19" s="509">
        <f t="shared" si="27"/>
        <v>1</v>
      </c>
      <c r="AL19" s="509">
        <f t="shared" si="27"/>
        <v>1</v>
      </c>
      <c r="AM19" s="509">
        <f t="shared" si="27"/>
        <v>1</v>
      </c>
      <c r="AN19" s="509">
        <f t="shared" si="27"/>
        <v>1</v>
      </c>
      <c r="AO19" s="509">
        <f t="shared" si="14"/>
        <v>1</v>
      </c>
      <c r="AQ19" s="152"/>
      <c r="AR19" s="508">
        <f>AR18</f>
        <v>200</v>
      </c>
      <c r="AS19" s="508">
        <f t="shared" ref="AS19:AV19" si="59">AS18</f>
        <v>250</v>
      </c>
      <c r="AT19" s="508">
        <f t="shared" si="59"/>
        <v>600</v>
      </c>
      <c r="AU19" s="508">
        <f t="shared" si="59"/>
        <v>660</v>
      </c>
      <c r="AV19" s="508">
        <f t="shared" si="59"/>
        <v>726.00000000000011</v>
      </c>
      <c r="AW19" s="510">
        <f t="shared" si="54"/>
        <v>771.01200000000017</v>
      </c>
      <c r="AX19" s="510">
        <f t="shared" si="54"/>
        <v>818.81474400000025</v>
      </c>
      <c r="AY19" s="510">
        <f t="shared" si="54"/>
        <v>869.58125812800029</v>
      </c>
      <c r="AZ19" s="510">
        <f t="shared" si="54"/>
        <v>923.49529613193636</v>
      </c>
      <c r="BB19" s="152"/>
      <c r="BC19" s="508">
        <v>3</v>
      </c>
      <c r="BD19" s="510">
        <f>BC19</f>
        <v>3</v>
      </c>
      <c r="BE19" s="510">
        <f t="shared" ref="BE19:BJ28" si="60">BD19</f>
        <v>3</v>
      </c>
      <c r="BF19" s="510">
        <f t="shared" si="60"/>
        <v>3</v>
      </c>
      <c r="BG19" s="510">
        <f t="shared" si="60"/>
        <v>3</v>
      </c>
      <c r="BH19" s="510">
        <f t="shared" si="60"/>
        <v>3</v>
      </c>
      <c r="BI19" s="510">
        <f t="shared" si="60"/>
        <v>3</v>
      </c>
      <c r="BJ19" s="510">
        <f t="shared" si="60"/>
        <v>3</v>
      </c>
      <c r="BK19" s="510">
        <f t="shared" si="52"/>
        <v>3</v>
      </c>
      <c r="BM19" s="125">
        <f t="shared" si="30"/>
        <v>0</v>
      </c>
      <c r="BN19" s="125">
        <f t="shared" si="30"/>
        <v>124.8</v>
      </c>
      <c r="BO19" s="125">
        <f t="shared" si="30"/>
        <v>175.5</v>
      </c>
      <c r="BP19" s="125">
        <f t="shared" si="30"/>
        <v>514.79999999999995</v>
      </c>
      <c r="BQ19" s="125">
        <f t="shared" si="30"/>
        <v>669.24</v>
      </c>
      <c r="BR19" s="125">
        <f t="shared" si="18"/>
        <v>849.42000000000019</v>
      </c>
      <c r="BS19" s="125">
        <f t="shared" si="18"/>
        <v>902.08404000000019</v>
      </c>
      <c r="BT19" s="125">
        <f t="shared" si="18"/>
        <v>958.01325048000035</v>
      </c>
      <c r="BU19" s="125">
        <f t="shared" si="18"/>
        <v>1017.4100720097604</v>
      </c>
      <c r="BV19" s="125">
        <f t="shared" si="18"/>
        <v>1080.4894964743655</v>
      </c>
      <c r="BX19" s="511">
        <v>0.8323026585210388</v>
      </c>
      <c r="BY19" s="511">
        <v>0.8323026585210388</v>
      </c>
      <c r="BZ19" s="511">
        <v>0.8323026585210388</v>
      </c>
      <c r="CA19" s="511">
        <f t="shared" si="57"/>
        <v>0.86143325156927508</v>
      </c>
      <c r="CB19" s="511">
        <f t="shared" si="57"/>
        <v>0.89158341537419961</v>
      </c>
      <c r="CC19" s="511">
        <f t="shared" si="57"/>
        <v>0.92278883491229657</v>
      </c>
      <c r="CD19" s="511">
        <f t="shared" si="57"/>
        <v>0.95508644413422683</v>
      </c>
      <c r="CE19" s="511">
        <f t="shared" si="57"/>
        <v>0.98851446967892465</v>
      </c>
      <c r="CF19" s="511">
        <f t="shared" si="57"/>
        <v>1.0231124761176869</v>
      </c>
      <c r="CG19" s="511">
        <f t="shared" si="57"/>
        <v>1.0589214127818058</v>
      </c>
      <c r="CI19" s="128">
        <f t="shared" si="21"/>
        <v>0</v>
      </c>
      <c r="CJ19" s="128">
        <f t="shared" si="21"/>
        <v>103.87137178342564</v>
      </c>
      <c r="CK19" s="128">
        <f t="shared" si="21"/>
        <v>146.0691165704423</v>
      </c>
      <c r="CL19" s="128">
        <f t="shared" si="21"/>
        <v>443.46583790786275</v>
      </c>
      <c r="CM19" s="128">
        <f t="shared" si="21"/>
        <v>596.68328490502938</v>
      </c>
      <c r="CN19" s="128">
        <f t="shared" si="21"/>
        <v>783.83529215120313</v>
      </c>
      <c r="CO19" s="128">
        <f t="shared" si="21"/>
        <v>861.56823807383785</v>
      </c>
      <c r="CP19" s="128">
        <f t="shared" si="21"/>
        <v>947.0099602436203</v>
      </c>
      <c r="CQ19" s="128">
        <f t="shared" si="21"/>
        <v>1040.9249380009801</v>
      </c>
      <c r="CR19" s="128">
        <f t="shared" si="21"/>
        <v>1144.1534641025371</v>
      </c>
      <c r="CT19" s="125">
        <f t="shared" si="22"/>
        <v>0</v>
      </c>
      <c r="CU19" s="125">
        <f t="shared" si="22"/>
        <v>2.496</v>
      </c>
      <c r="CV19" s="125">
        <f t="shared" si="22"/>
        <v>3.5100000000000002</v>
      </c>
      <c r="CW19" s="125">
        <f t="shared" si="22"/>
        <v>10.295999999999999</v>
      </c>
      <c r="CX19" s="125">
        <f t="shared" si="22"/>
        <v>13.3848</v>
      </c>
      <c r="CY19" s="125">
        <f t="shared" si="22"/>
        <v>16.988400000000006</v>
      </c>
      <c r="CZ19" s="125">
        <f t="shared" si="22"/>
        <v>18.041680800000005</v>
      </c>
      <c r="DA19" s="125">
        <f t="shared" si="22"/>
        <v>19.160265009600007</v>
      </c>
      <c r="DB19" s="125">
        <f t="shared" si="22"/>
        <v>20.348201440195208</v>
      </c>
      <c r="DC19" s="125">
        <f t="shared" si="22"/>
        <v>21.609789929487309</v>
      </c>
      <c r="DE19" s="127">
        <f t="shared" si="23"/>
        <v>0</v>
      </c>
      <c r="DF19" s="127">
        <f t="shared" si="23"/>
        <v>0.21991374875015424</v>
      </c>
      <c r="DG19" s="127">
        <f t="shared" si="23"/>
        <v>0.12644466594694181</v>
      </c>
      <c r="DH19" s="127">
        <f t="shared" si="23"/>
        <v>0.10255128962908129</v>
      </c>
      <c r="DI19" s="127">
        <f t="shared" si="23"/>
        <v>6.656915432113597E-2</v>
      </c>
      <c r="DJ19" s="127">
        <f t="shared" si="23"/>
        <v>3.6692142503022537E-2</v>
      </c>
      <c r="DK19" s="127">
        <f t="shared" si="23"/>
        <v>3.6897646984947942E-2</v>
      </c>
      <c r="DL19" s="127">
        <f t="shared" si="23"/>
        <v>3.7093269493862054E-2</v>
      </c>
      <c r="DM19" s="127">
        <f t="shared" si="23"/>
        <v>3.7279377169144222E-2</v>
      </c>
      <c r="DN19" s="127">
        <f t="shared" si="23"/>
        <v>3.7456335060267396E-2</v>
      </c>
      <c r="DP19" s="127">
        <v>0.24</v>
      </c>
      <c r="DQ19" s="512">
        <f t="shared" si="34"/>
        <v>-6.500000000000148E-3</v>
      </c>
      <c r="DR19" s="506">
        <f t="shared" si="34"/>
        <v>0.05</v>
      </c>
      <c r="DS19" s="506">
        <f t="shared" si="31"/>
        <v>0.1</v>
      </c>
      <c r="DT19" s="506">
        <f t="shared" si="31"/>
        <v>0.15000000000000002</v>
      </c>
      <c r="DU19" s="506">
        <f t="shared" si="35"/>
        <v>0.22</v>
      </c>
      <c r="DV19" s="506">
        <f t="shared" si="35"/>
        <v>0.25</v>
      </c>
      <c r="DW19" s="506">
        <f t="shared" si="24"/>
        <v>0.25</v>
      </c>
      <c r="DX19" s="506">
        <f t="shared" si="24"/>
        <v>0.25</v>
      </c>
      <c r="DY19" s="506">
        <f t="shared" si="24"/>
        <v>0.25</v>
      </c>
      <c r="EA19" s="20">
        <f t="shared" si="32"/>
        <v>0</v>
      </c>
      <c r="EB19" s="20">
        <f t="shared" si="25"/>
        <v>104.54653570001793</v>
      </c>
      <c r="EC19" s="128">
        <f t="shared" si="25"/>
        <v>138.76566074192019</v>
      </c>
      <c r="ED19" s="128">
        <f t="shared" si="25"/>
        <v>399.11925411707648</v>
      </c>
      <c r="EE19" s="128">
        <f t="shared" si="25"/>
        <v>507.18079216927498</v>
      </c>
      <c r="EF19" s="128">
        <f t="shared" si="25"/>
        <v>611.39152787793842</v>
      </c>
      <c r="EG19" s="128">
        <f t="shared" si="25"/>
        <v>646.17617855537833</v>
      </c>
      <c r="EH19" s="128">
        <f t="shared" si="25"/>
        <v>710.25747018271522</v>
      </c>
      <c r="EI19" s="128">
        <f t="shared" si="25"/>
        <v>780.69370350073507</v>
      </c>
      <c r="EJ19" s="128">
        <f t="shared" si="25"/>
        <v>858.11509807690277</v>
      </c>
    </row>
    <row r="20" spans="2:140" ht="15.75">
      <c r="B20" s="19" t="s">
        <v>175</v>
      </c>
      <c r="C20" s="124" t="s">
        <v>434</v>
      </c>
      <c r="D20" s="19" t="str">
        <f>$D$13</f>
        <v>Yogurt</v>
      </c>
      <c r="E20" s="153">
        <f>E$13</f>
        <v>0.02</v>
      </c>
      <c r="F20" s="170">
        <f t="shared" ref="F20:H20" si="61">F$13</f>
        <v>0.5</v>
      </c>
      <c r="G20" s="151">
        <f t="shared" si="61"/>
        <v>1</v>
      </c>
      <c r="H20" s="19" t="str">
        <f t="shared" si="61"/>
        <v>500g</v>
      </c>
      <c r="J20" s="152"/>
      <c r="K20" s="152"/>
      <c r="L20" s="152"/>
      <c r="M20" s="152"/>
      <c r="N20" s="152"/>
      <c r="O20" s="152"/>
      <c r="P20" s="152"/>
      <c r="Q20" s="152"/>
      <c r="R20" s="152"/>
      <c r="S20" s="152"/>
      <c r="U20" s="152"/>
      <c r="V20" s="152"/>
      <c r="W20" s="152"/>
      <c r="X20" s="152"/>
      <c r="Y20" s="152"/>
      <c r="Z20" s="508"/>
      <c r="AA20" s="508"/>
      <c r="AB20" s="508"/>
      <c r="AC20" s="508"/>
      <c r="AD20" s="508"/>
      <c r="AF20" s="165">
        <v>1</v>
      </c>
      <c r="AG20" s="165">
        <v>1</v>
      </c>
      <c r="AH20" s="165">
        <v>1</v>
      </c>
      <c r="AI20" s="165">
        <v>1</v>
      </c>
      <c r="AJ20" s="165">
        <v>1</v>
      </c>
      <c r="AK20" s="509">
        <f t="shared" si="27"/>
        <v>1</v>
      </c>
      <c r="AL20" s="509">
        <f t="shared" si="27"/>
        <v>1</v>
      </c>
      <c r="AM20" s="509">
        <f t="shared" si="27"/>
        <v>1</v>
      </c>
      <c r="AN20" s="509">
        <f t="shared" si="27"/>
        <v>1</v>
      </c>
      <c r="AO20" s="509">
        <f t="shared" si="14"/>
        <v>1</v>
      </c>
      <c r="AQ20" s="152"/>
      <c r="AR20" s="152"/>
      <c r="AS20" s="152"/>
      <c r="AT20" s="152"/>
      <c r="AU20" s="152"/>
      <c r="AV20" s="152"/>
      <c r="AW20" s="510">
        <f t="shared" si="54"/>
        <v>0</v>
      </c>
      <c r="AX20" s="510">
        <f t="shared" si="54"/>
        <v>0</v>
      </c>
      <c r="AY20" s="510">
        <f t="shared" si="54"/>
        <v>0</v>
      </c>
      <c r="AZ20" s="510">
        <f t="shared" si="54"/>
        <v>0</v>
      </c>
      <c r="BB20" s="152"/>
      <c r="BC20" s="152">
        <v>2</v>
      </c>
      <c r="BD20" s="152">
        <v>3</v>
      </c>
      <c r="BE20" s="152">
        <v>3</v>
      </c>
      <c r="BF20" s="152">
        <v>3</v>
      </c>
      <c r="BG20" s="508">
        <f t="shared" si="60"/>
        <v>3</v>
      </c>
      <c r="BH20" s="508">
        <f t="shared" si="60"/>
        <v>3</v>
      </c>
      <c r="BI20" s="508">
        <f t="shared" si="60"/>
        <v>3</v>
      </c>
      <c r="BJ20" s="508">
        <f t="shared" si="60"/>
        <v>3</v>
      </c>
      <c r="BK20" s="508">
        <f t="shared" si="52"/>
        <v>3</v>
      </c>
      <c r="BM20" s="125">
        <f t="shared" si="30"/>
        <v>0</v>
      </c>
      <c r="BN20" s="125">
        <f t="shared" si="30"/>
        <v>0</v>
      </c>
      <c r="BO20" s="125">
        <f t="shared" si="30"/>
        <v>0</v>
      </c>
      <c r="BP20" s="125">
        <f t="shared" si="30"/>
        <v>0</v>
      </c>
      <c r="BQ20" s="125">
        <f t="shared" si="30"/>
        <v>0</v>
      </c>
      <c r="BR20" s="125">
        <f t="shared" si="18"/>
        <v>0</v>
      </c>
      <c r="BS20" s="125">
        <f t="shared" si="18"/>
        <v>0</v>
      </c>
      <c r="BT20" s="125">
        <f t="shared" si="18"/>
        <v>0</v>
      </c>
      <c r="BU20" s="125">
        <f t="shared" si="18"/>
        <v>0</v>
      </c>
      <c r="BV20" s="125">
        <f t="shared" si="18"/>
        <v>0</v>
      </c>
      <c r="BX20" s="160"/>
      <c r="BY20" s="159"/>
      <c r="BZ20" s="159"/>
      <c r="CA20" s="511"/>
      <c r="CB20" s="511"/>
      <c r="CC20" s="511"/>
      <c r="CD20" s="511"/>
      <c r="CE20" s="511"/>
      <c r="CF20" s="511"/>
      <c r="CG20" s="511"/>
      <c r="CI20" s="128">
        <f t="shared" si="21"/>
        <v>0</v>
      </c>
      <c r="CJ20" s="128">
        <f t="shared" si="21"/>
        <v>0</v>
      </c>
      <c r="CK20" s="128">
        <f t="shared" si="21"/>
        <v>0</v>
      </c>
      <c r="CL20" s="128">
        <f t="shared" si="21"/>
        <v>0</v>
      </c>
      <c r="CM20" s="128">
        <f t="shared" si="21"/>
        <v>0</v>
      </c>
      <c r="CN20" s="128">
        <f t="shared" si="21"/>
        <v>0</v>
      </c>
      <c r="CO20" s="128">
        <f t="shared" si="21"/>
        <v>0</v>
      </c>
      <c r="CP20" s="128">
        <f t="shared" si="21"/>
        <v>0</v>
      </c>
      <c r="CQ20" s="128">
        <f t="shared" si="21"/>
        <v>0</v>
      </c>
      <c r="CR20" s="128">
        <f t="shared" si="21"/>
        <v>0</v>
      </c>
      <c r="CT20" s="125">
        <f t="shared" si="22"/>
        <v>0</v>
      </c>
      <c r="CU20" s="125">
        <f t="shared" si="22"/>
        <v>0</v>
      </c>
      <c r="CV20" s="125">
        <f t="shared" si="22"/>
        <v>0</v>
      </c>
      <c r="CW20" s="125">
        <f t="shared" si="22"/>
        <v>0</v>
      </c>
      <c r="CX20" s="125">
        <f t="shared" si="22"/>
        <v>0</v>
      </c>
      <c r="CY20" s="125">
        <f t="shared" si="22"/>
        <v>0</v>
      </c>
      <c r="CZ20" s="125">
        <f t="shared" si="22"/>
        <v>0</v>
      </c>
      <c r="DA20" s="125">
        <f t="shared" si="22"/>
        <v>0</v>
      </c>
      <c r="DB20" s="125">
        <f t="shared" si="22"/>
        <v>0</v>
      </c>
      <c r="DC20" s="125">
        <f t="shared" si="22"/>
        <v>0</v>
      </c>
      <c r="DE20" s="127">
        <f t="shared" si="23"/>
        <v>0</v>
      </c>
      <c r="DF20" s="127">
        <f t="shared" si="23"/>
        <v>0</v>
      </c>
      <c r="DG20" s="127">
        <f t="shared" si="23"/>
        <v>0</v>
      </c>
      <c r="DH20" s="127">
        <f t="shared" si="23"/>
        <v>0</v>
      </c>
      <c r="DI20" s="127">
        <f t="shared" si="23"/>
        <v>0</v>
      </c>
      <c r="DJ20" s="127">
        <f t="shared" si="23"/>
        <v>0</v>
      </c>
      <c r="DK20" s="127">
        <f t="shared" si="23"/>
        <v>0</v>
      </c>
      <c r="DL20" s="127">
        <f t="shared" si="23"/>
        <v>0</v>
      </c>
      <c r="DM20" s="127">
        <f t="shared" si="23"/>
        <v>0</v>
      </c>
      <c r="DN20" s="127">
        <f t="shared" si="23"/>
        <v>0</v>
      </c>
      <c r="DP20" s="127">
        <v>0.24</v>
      </c>
      <c r="DQ20" s="512">
        <f t="shared" si="34"/>
        <v>-6.500000000000148E-3</v>
      </c>
      <c r="DR20" s="506">
        <f t="shared" si="34"/>
        <v>0.05</v>
      </c>
      <c r="DS20" s="506">
        <f t="shared" si="31"/>
        <v>0.1</v>
      </c>
      <c r="DT20" s="506">
        <f t="shared" si="31"/>
        <v>0.15000000000000002</v>
      </c>
      <c r="DU20" s="506">
        <f t="shared" si="35"/>
        <v>0.22</v>
      </c>
      <c r="DV20" s="506">
        <f t="shared" si="35"/>
        <v>0.25</v>
      </c>
      <c r="DW20" s="506">
        <f t="shared" si="24"/>
        <v>0.25</v>
      </c>
      <c r="DX20" s="506">
        <f t="shared" si="24"/>
        <v>0.25</v>
      </c>
      <c r="DY20" s="506">
        <f t="shared" si="24"/>
        <v>0.25</v>
      </c>
      <c r="EA20" s="20">
        <f t="shared" si="32"/>
        <v>0</v>
      </c>
      <c r="EB20" s="20">
        <f t="shared" si="25"/>
        <v>0</v>
      </c>
      <c r="EC20" s="128">
        <f t="shared" si="25"/>
        <v>0</v>
      </c>
      <c r="ED20" s="128">
        <f t="shared" si="25"/>
        <v>0</v>
      </c>
      <c r="EE20" s="128">
        <f t="shared" si="25"/>
        <v>0</v>
      </c>
      <c r="EF20" s="128">
        <f t="shared" si="25"/>
        <v>0</v>
      </c>
      <c r="EG20" s="128">
        <f t="shared" si="25"/>
        <v>0</v>
      </c>
      <c r="EH20" s="128">
        <f t="shared" si="25"/>
        <v>0</v>
      </c>
      <c r="EI20" s="128">
        <f t="shared" si="25"/>
        <v>0</v>
      </c>
      <c r="EJ20" s="128">
        <f t="shared" si="25"/>
        <v>0</v>
      </c>
    </row>
    <row r="21" spans="2:140" ht="15.75">
      <c r="B21" s="19" t="s">
        <v>175</v>
      </c>
      <c r="C21" s="124" t="s">
        <v>434</v>
      </c>
      <c r="D21" s="19" t="str">
        <f>$D$14</f>
        <v>Sports Nutrition</v>
      </c>
      <c r="E21" s="153">
        <f>E$14</f>
        <v>0.88</v>
      </c>
      <c r="F21" s="170">
        <f t="shared" ref="F21:H21" si="62">F$14</f>
        <v>0.5</v>
      </c>
      <c r="G21" s="151">
        <f t="shared" si="62"/>
        <v>1</v>
      </c>
      <c r="H21" s="19" t="str">
        <f t="shared" si="62"/>
        <v>500g</v>
      </c>
      <c r="J21" s="152"/>
      <c r="K21" s="152"/>
      <c r="L21" s="152"/>
      <c r="M21" s="152"/>
      <c r="N21" s="152"/>
      <c r="O21" s="152"/>
      <c r="P21" s="152"/>
      <c r="Q21" s="152"/>
      <c r="R21" s="152"/>
      <c r="S21" s="152"/>
      <c r="U21" s="152"/>
      <c r="V21" s="152"/>
      <c r="W21" s="152"/>
      <c r="X21" s="152"/>
      <c r="Y21" s="152"/>
      <c r="Z21" s="508"/>
      <c r="AA21" s="508"/>
      <c r="AB21" s="508"/>
      <c r="AC21" s="508"/>
      <c r="AD21" s="508"/>
      <c r="AF21" s="165">
        <v>1</v>
      </c>
      <c r="AG21" s="165">
        <v>1</v>
      </c>
      <c r="AH21" s="165">
        <v>1</v>
      </c>
      <c r="AI21" s="165">
        <v>1</v>
      </c>
      <c r="AJ21" s="165">
        <v>1</v>
      </c>
      <c r="AK21" s="509">
        <f t="shared" si="27"/>
        <v>1</v>
      </c>
      <c r="AL21" s="509">
        <f t="shared" si="27"/>
        <v>1</v>
      </c>
      <c r="AM21" s="509">
        <f t="shared" si="27"/>
        <v>1</v>
      </c>
      <c r="AN21" s="509">
        <f t="shared" si="27"/>
        <v>1</v>
      </c>
      <c r="AO21" s="509">
        <f t="shared" si="14"/>
        <v>1</v>
      </c>
      <c r="AQ21" s="152"/>
      <c r="AR21" s="152"/>
      <c r="AS21" s="152"/>
      <c r="AT21" s="152"/>
      <c r="AU21" s="152"/>
      <c r="AV21" s="152"/>
      <c r="AW21" s="510">
        <f t="shared" si="54"/>
        <v>0</v>
      </c>
      <c r="AX21" s="510">
        <f t="shared" si="54"/>
        <v>0</v>
      </c>
      <c r="AY21" s="510">
        <f t="shared" si="54"/>
        <v>0</v>
      </c>
      <c r="AZ21" s="510">
        <f t="shared" si="54"/>
        <v>0</v>
      </c>
      <c r="BB21" s="152">
        <v>3</v>
      </c>
      <c r="BC21" s="152">
        <v>4</v>
      </c>
      <c r="BD21" s="152">
        <v>6</v>
      </c>
      <c r="BE21" s="152">
        <v>8</v>
      </c>
      <c r="BF21" s="152">
        <v>8</v>
      </c>
      <c r="BG21" s="508">
        <f t="shared" si="60"/>
        <v>8</v>
      </c>
      <c r="BH21" s="508">
        <f t="shared" si="60"/>
        <v>8</v>
      </c>
      <c r="BI21" s="508">
        <f t="shared" si="60"/>
        <v>8</v>
      </c>
      <c r="BJ21" s="508">
        <f t="shared" si="60"/>
        <v>8</v>
      </c>
      <c r="BK21" s="508">
        <f t="shared" si="52"/>
        <v>8</v>
      </c>
      <c r="BM21" s="125">
        <f t="shared" si="30"/>
        <v>0</v>
      </c>
      <c r="BN21" s="125">
        <f t="shared" si="30"/>
        <v>0</v>
      </c>
      <c r="BO21" s="125">
        <f t="shared" si="30"/>
        <v>0</v>
      </c>
      <c r="BP21" s="125">
        <f t="shared" si="30"/>
        <v>0</v>
      </c>
      <c r="BQ21" s="125">
        <f t="shared" si="30"/>
        <v>0</v>
      </c>
      <c r="BR21" s="125">
        <f t="shared" si="18"/>
        <v>0</v>
      </c>
      <c r="BS21" s="125">
        <f t="shared" si="18"/>
        <v>0</v>
      </c>
      <c r="BT21" s="125">
        <f t="shared" si="18"/>
        <v>0</v>
      </c>
      <c r="BU21" s="125">
        <f t="shared" si="18"/>
        <v>0</v>
      </c>
      <c r="BV21" s="125">
        <f t="shared" si="18"/>
        <v>0</v>
      </c>
      <c r="BX21" s="160"/>
      <c r="BY21" s="159"/>
      <c r="BZ21" s="159"/>
      <c r="CA21" s="511"/>
      <c r="CB21" s="511"/>
      <c r="CC21" s="511"/>
      <c r="CD21" s="511"/>
      <c r="CE21" s="511"/>
      <c r="CF21" s="511"/>
      <c r="CG21" s="511"/>
      <c r="CI21" s="128">
        <f t="shared" si="21"/>
        <v>0</v>
      </c>
      <c r="CJ21" s="128">
        <f t="shared" si="21"/>
        <v>0</v>
      </c>
      <c r="CK21" s="128">
        <f t="shared" si="21"/>
        <v>0</v>
      </c>
      <c r="CL21" s="128">
        <f t="shared" si="21"/>
        <v>0</v>
      </c>
      <c r="CM21" s="128">
        <f t="shared" si="21"/>
        <v>0</v>
      </c>
      <c r="CN21" s="128">
        <f t="shared" si="21"/>
        <v>0</v>
      </c>
      <c r="CO21" s="128">
        <f t="shared" si="21"/>
        <v>0</v>
      </c>
      <c r="CP21" s="128">
        <f t="shared" si="21"/>
        <v>0</v>
      </c>
      <c r="CQ21" s="128">
        <f t="shared" si="21"/>
        <v>0</v>
      </c>
      <c r="CR21" s="128">
        <f t="shared" si="21"/>
        <v>0</v>
      </c>
      <c r="CT21" s="125">
        <f t="shared" si="22"/>
        <v>0</v>
      </c>
      <c r="CU21" s="125">
        <f t="shared" si="22"/>
        <v>0</v>
      </c>
      <c r="CV21" s="125">
        <f t="shared" si="22"/>
        <v>0</v>
      </c>
      <c r="CW21" s="125">
        <f t="shared" si="22"/>
        <v>0</v>
      </c>
      <c r="CX21" s="125">
        <f t="shared" si="22"/>
        <v>0</v>
      </c>
      <c r="CY21" s="125">
        <f t="shared" si="22"/>
        <v>0</v>
      </c>
      <c r="CZ21" s="125">
        <f t="shared" si="22"/>
        <v>0</v>
      </c>
      <c r="DA21" s="125">
        <f t="shared" si="22"/>
        <v>0</v>
      </c>
      <c r="DB21" s="125">
        <f t="shared" si="22"/>
        <v>0</v>
      </c>
      <c r="DC21" s="125">
        <f t="shared" si="22"/>
        <v>0</v>
      </c>
      <c r="DE21" s="127">
        <f t="shared" si="23"/>
        <v>0</v>
      </c>
      <c r="DF21" s="127">
        <f t="shared" si="23"/>
        <v>0</v>
      </c>
      <c r="DG21" s="127">
        <f t="shared" si="23"/>
        <v>0</v>
      </c>
      <c r="DH21" s="127">
        <f t="shared" si="23"/>
        <v>0</v>
      </c>
      <c r="DI21" s="127">
        <f t="shared" si="23"/>
        <v>0</v>
      </c>
      <c r="DJ21" s="127">
        <f t="shared" si="23"/>
        <v>0</v>
      </c>
      <c r="DK21" s="127">
        <f t="shared" si="23"/>
        <v>0</v>
      </c>
      <c r="DL21" s="127">
        <f t="shared" si="23"/>
        <v>0</v>
      </c>
      <c r="DM21" s="127">
        <f t="shared" si="23"/>
        <v>0</v>
      </c>
      <c r="DN21" s="127">
        <f t="shared" si="23"/>
        <v>0</v>
      </c>
      <c r="DP21" s="127">
        <v>0.24</v>
      </c>
      <c r="DQ21" s="512">
        <f t="shared" si="34"/>
        <v>-6.500000000000148E-3</v>
      </c>
      <c r="DR21" s="506">
        <f t="shared" si="34"/>
        <v>0.05</v>
      </c>
      <c r="DS21" s="506">
        <f t="shared" si="31"/>
        <v>0.1</v>
      </c>
      <c r="DT21" s="506">
        <f t="shared" si="31"/>
        <v>0.15000000000000002</v>
      </c>
      <c r="DU21" s="506">
        <f t="shared" si="35"/>
        <v>0.22</v>
      </c>
      <c r="DV21" s="506">
        <f t="shared" si="35"/>
        <v>0.25</v>
      </c>
      <c r="DW21" s="506">
        <f t="shared" si="24"/>
        <v>0.25</v>
      </c>
      <c r="DX21" s="506">
        <f t="shared" si="24"/>
        <v>0.25</v>
      </c>
      <c r="DY21" s="506">
        <f t="shared" si="24"/>
        <v>0.25</v>
      </c>
      <c r="EA21" s="20">
        <f t="shared" si="32"/>
        <v>0</v>
      </c>
      <c r="EB21" s="20">
        <f t="shared" si="25"/>
        <v>0</v>
      </c>
      <c r="EC21" s="128">
        <f t="shared" si="25"/>
        <v>0</v>
      </c>
      <c r="ED21" s="128">
        <f t="shared" si="25"/>
        <v>0</v>
      </c>
      <c r="EE21" s="128">
        <f t="shared" si="25"/>
        <v>0</v>
      </c>
      <c r="EF21" s="128">
        <f t="shared" si="25"/>
        <v>0</v>
      </c>
      <c r="EG21" s="128">
        <f t="shared" si="25"/>
        <v>0</v>
      </c>
      <c r="EH21" s="128">
        <f t="shared" si="25"/>
        <v>0</v>
      </c>
      <c r="EI21" s="128">
        <f t="shared" si="25"/>
        <v>0</v>
      </c>
      <c r="EJ21" s="128">
        <f t="shared" si="25"/>
        <v>0</v>
      </c>
    </row>
    <row r="22" spans="2:140" ht="15.75">
      <c r="B22" s="19" t="s">
        <v>175</v>
      </c>
      <c r="C22" s="124" t="s">
        <v>184</v>
      </c>
      <c r="D22" s="19" t="str">
        <f>$D$8</f>
        <v>Ice Cream Pints</v>
      </c>
      <c r="E22" s="153">
        <f>E$8</f>
        <v>0.02</v>
      </c>
      <c r="F22" s="170">
        <f t="shared" ref="F22:H22" si="63">F$8</f>
        <v>0.25110000000000005</v>
      </c>
      <c r="G22" s="151">
        <f t="shared" si="63"/>
        <v>1</v>
      </c>
      <c r="H22" s="19" t="str">
        <f t="shared" si="63"/>
        <v>Pints</v>
      </c>
      <c r="J22" s="152"/>
      <c r="K22" s="152"/>
      <c r="L22" s="152">
        <v>3</v>
      </c>
      <c r="M22" s="152">
        <v>3</v>
      </c>
      <c r="N22" s="152">
        <v>3</v>
      </c>
      <c r="O22" s="152">
        <f>N22</f>
        <v>3</v>
      </c>
      <c r="P22" s="508">
        <f t="shared" ref="P22:T23" si="64">O22</f>
        <v>3</v>
      </c>
      <c r="Q22" s="508">
        <f t="shared" si="64"/>
        <v>3</v>
      </c>
      <c r="R22" s="508">
        <f t="shared" si="64"/>
        <v>3</v>
      </c>
      <c r="S22" s="508">
        <f t="shared" si="64"/>
        <v>3</v>
      </c>
      <c r="T22" s="152">
        <f t="shared" si="64"/>
        <v>3</v>
      </c>
      <c r="U22" s="152"/>
      <c r="V22" s="152">
        <v>37</v>
      </c>
      <c r="W22" s="508">
        <v>26</v>
      </c>
      <c r="X22" s="125">
        <v>52</v>
      </c>
      <c r="Y22" s="125">
        <v>52</v>
      </c>
      <c r="Z22" s="508">
        <f t="shared" ref="Z22:AD26" si="65">Y22</f>
        <v>52</v>
      </c>
      <c r="AA22" s="508">
        <f t="shared" si="65"/>
        <v>52</v>
      </c>
      <c r="AB22" s="508">
        <f t="shared" si="65"/>
        <v>52</v>
      </c>
      <c r="AC22" s="508">
        <f t="shared" si="65"/>
        <v>52</v>
      </c>
      <c r="AD22" s="508">
        <f t="shared" si="65"/>
        <v>52</v>
      </c>
      <c r="AF22" s="165">
        <v>1</v>
      </c>
      <c r="AG22" s="165">
        <v>1</v>
      </c>
      <c r="AH22" s="165">
        <v>1</v>
      </c>
      <c r="AI22" s="165">
        <v>1</v>
      </c>
      <c r="AJ22" s="165">
        <v>1</v>
      </c>
      <c r="AK22" s="509">
        <f t="shared" si="27"/>
        <v>1</v>
      </c>
      <c r="AL22" s="509">
        <f t="shared" si="27"/>
        <v>1</v>
      </c>
      <c r="AM22" s="509">
        <f t="shared" si="27"/>
        <v>1</v>
      </c>
      <c r="AN22" s="509">
        <f t="shared" si="27"/>
        <v>1</v>
      </c>
      <c r="AO22" s="509">
        <f t="shared" si="14"/>
        <v>1</v>
      </c>
      <c r="AQ22" s="152"/>
      <c r="AR22" s="152"/>
      <c r="AS22" s="508">
        <v>150</v>
      </c>
      <c r="AT22" s="508">
        <v>700</v>
      </c>
      <c r="AU22" s="508">
        <v>2250</v>
      </c>
      <c r="AV22" s="508">
        <v>5500</v>
      </c>
      <c r="AW22" s="510">
        <f t="shared" si="54"/>
        <v>5841</v>
      </c>
      <c r="AX22" s="510">
        <f t="shared" si="54"/>
        <v>6203.1420000000007</v>
      </c>
      <c r="AY22" s="510">
        <f t="shared" si="54"/>
        <v>6587.736804000001</v>
      </c>
      <c r="AZ22" s="510">
        <f t="shared" si="54"/>
        <v>6996.1764858480019</v>
      </c>
      <c r="BB22" s="152"/>
      <c r="BC22" s="152">
        <v>6</v>
      </c>
      <c r="BD22" s="152">
        <v>12</v>
      </c>
      <c r="BE22" s="152">
        <v>12</v>
      </c>
      <c r="BF22" s="152">
        <v>12</v>
      </c>
      <c r="BG22" s="508">
        <f t="shared" si="60"/>
        <v>12</v>
      </c>
      <c r="BH22" s="508">
        <f t="shared" si="60"/>
        <v>12</v>
      </c>
      <c r="BI22" s="508">
        <f t="shared" si="60"/>
        <v>12</v>
      </c>
      <c r="BJ22" s="508">
        <f t="shared" si="60"/>
        <v>12</v>
      </c>
      <c r="BK22" s="508">
        <f t="shared" si="52"/>
        <v>12</v>
      </c>
      <c r="BM22" s="125">
        <f t="shared" si="30"/>
        <v>0</v>
      </c>
      <c r="BN22" s="125">
        <f t="shared" si="30"/>
        <v>0</v>
      </c>
      <c r="BO22" s="125">
        <f t="shared" si="30"/>
        <v>140.4</v>
      </c>
      <c r="BP22" s="125">
        <f t="shared" si="30"/>
        <v>1310.4000000000001</v>
      </c>
      <c r="BQ22" s="125">
        <f t="shared" si="30"/>
        <v>4212</v>
      </c>
      <c r="BR22" s="125">
        <f t="shared" si="18"/>
        <v>10296</v>
      </c>
      <c r="BS22" s="125">
        <f t="shared" si="18"/>
        <v>10934.352000000001</v>
      </c>
      <c r="BT22" s="125">
        <f t="shared" si="18"/>
        <v>11612.281824000002</v>
      </c>
      <c r="BU22" s="125">
        <f t="shared" si="18"/>
        <v>12332.243297088004</v>
      </c>
      <c r="BV22" s="125">
        <f t="shared" si="18"/>
        <v>13096.842381507458</v>
      </c>
      <c r="BX22" s="513">
        <f>BX15</f>
        <v>2.1134784556925732</v>
      </c>
      <c r="BY22" s="513">
        <f t="shared" ref="BY22:BZ22" si="66">BY15</f>
        <v>2.1134784556925732</v>
      </c>
      <c r="BZ22" s="513">
        <f t="shared" si="66"/>
        <v>2.1134784556925732</v>
      </c>
      <c r="CA22" s="511">
        <f t="shared" ref="CA22:CG28" si="67">BZ22*(1+$CB$4)</f>
        <v>2.1874502016418131</v>
      </c>
      <c r="CB22" s="511">
        <f t="shared" si="67"/>
        <v>2.2640109586992763</v>
      </c>
      <c r="CC22" s="511">
        <f t="shared" si="67"/>
        <v>2.3432513422537506</v>
      </c>
      <c r="CD22" s="511">
        <f t="shared" si="67"/>
        <v>2.4252651392326317</v>
      </c>
      <c r="CE22" s="511">
        <f t="shared" si="67"/>
        <v>2.5101494191057734</v>
      </c>
      <c r="CF22" s="511">
        <f t="shared" si="67"/>
        <v>2.5980046487744755</v>
      </c>
      <c r="CG22" s="511">
        <f t="shared" si="67"/>
        <v>2.6889348114815821</v>
      </c>
      <c r="CI22" s="128">
        <f t="shared" si="21"/>
        <v>0</v>
      </c>
      <c r="CJ22" s="128">
        <f t="shared" si="21"/>
        <v>0</v>
      </c>
      <c r="CK22" s="128">
        <f t="shared" si="21"/>
        <v>296.73237517923729</v>
      </c>
      <c r="CL22" s="128">
        <f t="shared" si="21"/>
        <v>2866.434744231432</v>
      </c>
      <c r="CM22" s="128">
        <f t="shared" si="21"/>
        <v>9536.014158041351</v>
      </c>
      <c r="CN22" s="128">
        <f t="shared" si="21"/>
        <v>24126.115819844617</v>
      </c>
      <c r="CO22" s="128">
        <f t="shared" si="21"/>
        <v>26518.702725698608</v>
      </c>
      <c r="CP22" s="128">
        <f t="shared" si="21"/>
        <v>29148.562475006136</v>
      </c>
      <c r="CQ22" s="128">
        <f t="shared" si="21"/>
        <v>32039.225415652498</v>
      </c>
      <c r="CR22" s="128">
        <f t="shared" si="21"/>
        <v>35216.55540012275</v>
      </c>
      <c r="CT22" s="125">
        <f t="shared" si="22"/>
        <v>0</v>
      </c>
      <c r="CU22" s="125">
        <f t="shared" si="22"/>
        <v>0</v>
      </c>
      <c r="CV22" s="125">
        <f t="shared" si="22"/>
        <v>0.70508880000000018</v>
      </c>
      <c r="CW22" s="125">
        <f t="shared" si="22"/>
        <v>6.5808288000000017</v>
      </c>
      <c r="CX22" s="125">
        <f t="shared" si="22"/>
        <v>21.152664000000001</v>
      </c>
      <c r="CY22" s="125">
        <f t="shared" si="22"/>
        <v>51.706512000000011</v>
      </c>
      <c r="CZ22" s="125">
        <f t="shared" si="22"/>
        <v>54.912315744000018</v>
      </c>
      <c r="DA22" s="125">
        <f t="shared" si="22"/>
        <v>58.316879320128017</v>
      </c>
      <c r="DB22" s="125">
        <f t="shared" si="22"/>
        <v>61.932525837975966</v>
      </c>
      <c r="DC22" s="125">
        <f t="shared" si="22"/>
        <v>65.772342439930469</v>
      </c>
      <c r="DE22" s="127">
        <f t="shared" si="23"/>
        <v>0</v>
      </c>
      <c r="DF22" s="127">
        <f t="shared" si="23"/>
        <v>0</v>
      </c>
      <c r="DG22" s="127">
        <f t="shared" si="23"/>
        <v>2.5400204495421675E-2</v>
      </c>
      <c r="DH22" s="127">
        <f t="shared" si="23"/>
        <v>6.5547055193104095E-2</v>
      </c>
      <c r="DI22" s="127">
        <f t="shared" si="23"/>
        <v>0.10520253975547915</v>
      </c>
      <c r="DJ22" s="127">
        <f t="shared" si="23"/>
        <v>0.11167753918192676</v>
      </c>
      <c r="DK22" s="127">
        <f t="shared" si="23"/>
        <v>0.11230302009600519</v>
      </c>
      <c r="DL22" s="127">
        <f t="shared" si="23"/>
        <v>0.11289842387768195</v>
      </c>
      <c r="DM22" s="127">
        <f t="shared" si="23"/>
        <v>0.1134648679657226</v>
      </c>
      <c r="DN22" s="127">
        <f t="shared" si="23"/>
        <v>0.1140034634379775</v>
      </c>
      <c r="DP22" s="127">
        <v>0.24</v>
      </c>
      <c r="DQ22" s="512">
        <f t="shared" si="34"/>
        <v>-6.500000000000148E-3</v>
      </c>
      <c r="DR22" s="506">
        <f t="shared" si="34"/>
        <v>0.05</v>
      </c>
      <c r="DS22" s="506">
        <f t="shared" si="31"/>
        <v>0.1</v>
      </c>
      <c r="DT22" s="506">
        <f t="shared" si="31"/>
        <v>0.15000000000000002</v>
      </c>
      <c r="DU22" s="506">
        <f t="shared" si="35"/>
        <v>0.22</v>
      </c>
      <c r="DV22" s="506">
        <f t="shared" si="35"/>
        <v>0.25</v>
      </c>
      <c r="DW22" s="506">
        <f t="shared" si="24"/>
        <v>0.25</v>
      </c>
      <c r="DX22" s="506">
        <f t="shared" si="24"/>
        <v>0.25</v>
      </c>
      <c r="DY22" s="506">
        <f t="shared" si="24"/>
        <v>0.25</v>
      </c>
      <c r="EA22" s="20">
        <f t="shared" si="32"/>
        <v>0</v>
      </c>
      <c r="EB22" s="20">
        <f t="shared" si="25"/>
        <v>0</v>
      </c>
      <c r="EC22" s="128">
        <f t="shared" si="25"/>
        <v>281.8957564202754</v>
      </c>
      <c r="ED22" s="128">
        <f t="shared" si="25"/>
        <v>2579.7912698082887</v>
      </c>
      <c r="EE22" s="128">
        <f t="shared" si="25"/>
        <v>8105.6120343351486</v>
      </c>
      <c r="EF22" s="128">
        <f t="shared" si="25"/>
        <v>18818.370339478803</v>
      </c>
      <c r="EG22" s="128">
        <f t="shared" si="25"/>
        <v>19889.027044273957</v>
      </c>
      <c r="EH22" s="128">
        <f t="shared" si="25"/>
        <v>21861.421856254601</v>
      </c>
      <c r="EI22" s="128">
        <f t="shared" si="25"/>
        <v>24029.419061739372</v>
      </c>
      <c r="EJ22" s="128">
        <f t="shared" si="25"/>
        <v>26412.416550092064</v>
      </c>
    </row>
    <row r="23" spans="2:140" ht="15.75">
      <c r="B23" s="19" t="s">
        <v>175</v>
      </c>
      <c r="C23" s="124" t="s">
        <v>184</v>
      </c>
      <c r="D23" s="19" t="str">
        <f>$D$9</f>
        <v>Ice Cream Novelties</v>
      </c>
      <c r="E23" s="153">
        <f>E$9</f>
        <v>0.02</v>
      </c>
      <c r="F23" s="170">
        <f t="shared" ref="F23:H23" si="68">F$9</f>
        <v>0.25110000000000005</v>
      </c>
      <c r="G23" s="151">
        <f t="shared" si="68"/>
        <v>1</v>
      </c>
      <c r="H23" s="19" t="str">
        <f t="shared" si="68"/>
        <v>Novelty</v>
      </c>
      <c r="J23" s="152"/>
      <c r="K23" s="152"/>
      <c r="L23" s="152">
        <v>4</v>
      </c>
      <c r="M23" s="152">
        <v>4</v>
      </c>
      <c r="N23" s="152">
        <v>4</v>
      </c>
      <c r="O23" s="152">
        <f>N23</f>
        <v>4</v>
      </c>
      <c r="P23" s="508">
        <f t="shared" si="64"/>
        <v>4</v>
      </c>
      <c r="Q23" s="508">
        <f t="shared" si="64"/>
        <v>4</v>
      </c>
      <c r="R23" s="508">
        <f t="shared" si="64"/>
        <v>4</v>
      </c>
      <c r="S23" s="508">
        <f t="shared" si="64"/>
        <v>4</v>
      </c>
      <c r="T23" s="152">
        <f t="shared" si="64"/>
        <v>4</v>
      </c>
      <c r="U23" s="152"/>
      <c r="V23" s="152">
        <v>52</v>
      </c>
      <c r="W23" s="508">
        <v>26</v>
      </c>
      <c r="X23" s="125">
        <v>52</v>
      </c>
      <c r="Y23" s="125">
        <v>52</v>
      </c>
      <c r="Z23" s="508">
        <f t="shared" si="65"/>
        <v>52</v>
      </c>
      <c r="AA23" s="508">
        <f t="shared" si="65"/>
        <v>52</v>
      </c>
      <c r="AB23" s="508">
        <f t="shared" si="65"/>
        <v>52</v>
      </c>
      <c r="AC23" s="508">
        <f t="shared" si="65"/>
        <v>52</v>
      </c>
      <c r="AD23" s="508">
        <f t="shared" si="65"/>
        <v>52</v>
      </c>
      <c r="AF23" s="165">
        <v>1</v>
      </c>
      <c r="AG23" s="165">
        <v>1</v>
      </c>
      <c r="AH23" s="165">
        <v>1</v>
      </c>
      <c r="AI23" s="165">
        <v>1</v>
      </c>
      <c r="AJ23" s="165">
        <v>1</v>
      </c>
      <c r="AK23" s="509">
        <f t="shared" si="27"/>
        <v>1</v>
      </c>
      <c r="AL23" s="509">
        <f t="shared" si="27"/>
        <v>1</v>
      </c>
      <c r="AM23" s="509">
        <f t="shared" si="27"/>
        <v>1</v>
      </c>
      <c r="AN23" s="509">
        <f t="shared" si="27"/>
        <v>1</v>
      </c>
      <c r="AO23" s="509">
        <f t="shared" si="14"/>
        <v>1</v>
      </c>
      <c r="AQ23" s="152"/>
      <c r="AR23" s="152"/>
      <c r="AS23" s="514">
        <f>AS22</f>
        <v>150</v>
      </c>
      <c r="AT23" s="514">
        <f>AT22</f>
        <v>700</v>
      </c>
      <c r="AU23" s="514">
        <f t="shared" ref="AU23:AV23" si="69">AU22</f>
        <v>2250</v>
      </c>
      <c r="AV23" s="514">
        <f t="shared" si="69"/>
        <v>5500</v>
      </c>
      <c r="AW23" s="510">
        <f t="shared" si="54"/>
        <v>5841</v>
      </c>
      <c r="AX23" s="510">
        <f t="shared" si="54"/>
        <v>6203.1420000000007</v>
      </c>
      <c r="AY23" s="510">
        <f t="shared" si="54"/>
        <v>6587.736804000001</v>
      </c>
      <c r="AZ23" s="510">
        <f t="shared" si="54"/>
        <v>6996.1764858480019</v>
      </c>
      <c r="BB23" s="152"/>
      <c r="BC23" s="152">
        <v>6</v>
      </c>
      <c r="BD23" s="152">
        <v>8</v>
      </c>
      <c r="BE23" s="152">
        <v>10</v>
      </c>
      <c r="BF23" s="152">
        <v>10</v>
      </c>
      <c r="BG23" s="508">
        <f t="shared" si="60"/>
        <v>10</v>
      </c>
      <c r="BH23" s="508">
        <f t="shared" si="60"/>
        <v>10</v>
      </c>
      <c r="BI23" s="508">
        <f t="shared" si="60"/>
        <v>10</v>
      </c>
      <c r="BJ23" s="508">
        <f t="shared" si="60"/>
        <v>10</v>
      </c>
      <c r="BK23" s="508">
        <f t="shared" si="52"/>
        <v>10</v>
      </c>
      <c r="BM23" s="125">
        <f t="shared" si="30"/>
        <v>0</v>
      </c>
      <c r="BN23" s="125">
        <f t="shared" si="30"/>
        <v>0</v>
      </c>
      <c r="BO23" s="125">
        <f t="shared" si="30"/>
        <v>124.8</v>
      </c>
      <c r="BP23" s="125">
        <f t="shared" si="30"/>
        <v>1456</v>
      </c>
      <c r="BQ23" s="125">
        <f t="shared" si="30"/>
        <v>4680</v>
      </c>
      <c r="BR23" s="125">
        <f t="shared" si="18"/>
        <v>11440</v>
      </c>
      <c r="BS23" s="125">
        <f t="shared" si="18"/>
        <v>12149.28</v>
      </c>
      <c r="BT23" s="125">
        <f t="shared" si="18"/>
        <v>12902.535360000002</v>
      </c>
      <c r="BU23" s="125">
        <f t="shared" si="18"/>
        <v>13702.492552320004</v>
      </c>
      <c r="BV23" s="125">
        <f t="shared" si="18"/>
        <v>14552.047090563845</v>
      </c>
      <c r="BX23" s="513">
        <f t="shared" ref="BX23:BZ28" si="70">BX16</f>
        <v>0.8801034992356509</v>
      </c>
      <c r="BY23" s="513">
        <f t="shared" si="70"/>
        <v>0.8801034992356509</v>
      </c>
      <c r="BZ23" s="513">
        <f t="shared" si="70"/>
        <v>0.8801034992356509</v>
      </c>
      <c r="CA23" s="511">
        <f t="shared" si="67"/>
        <v>0.91090712170889865</v>
      </c>
      <c r="CB23" s="511">
        <f t="shared" si="67"/>
        <v>0.94278887096871</v>
      </c>
      <c r="CC23" s="511">
        <f t="shared" si="67"/>
        <v>0.97578648145261482</v>
      </c>
      <c r="CD23" s="511">
        <f t="shared" si="67"/>
        <v>1.0099390083034563</v>
      </c>
      <c r="CE23" s="511">
        <f t="shared" si="67"/>
        <v>1.0452868735940772</v>
      </c>
      <c r="CF23" s="511">
        <f t="shared" si="67"/>
        <v>1.0818719141698698</v>
      </c>
      <c r="CG23" s="511">
        <f t="shared" si="67"/>
        <v>1.1197374311658153</v>
      </c>
      <c r="CI23" s="128">
        <f t="shared" si="21"/>
        <v>0</v>
      </c>
      <c r="CJ23" s="128">
        <f t="shared" si="21"/>
        <v>0</v>
      </c>
      <c r="CK23" s="128">
        <f t="shared" si="21"/>
        <v>109.83691670460922</v>
      </c>
      <c r="CL23" s="128">
        <f t="shared" si="21"/>
        <v>1326.2807692081565</v>
      </c>
      <c r="CM23" s="128">
        <f t="shared" si="21"/>
        <v>4412.2519161335631</v>
      </c>
      <c r="CN23" s="128">
        <f t="shared" si="21"/>
        <v>11162.997347817913</v>
      </c>
      <c r="CO23" s="128">
        <f t="shared" si="21"/>
        <v>12270.031794801016</v>
      </c>
      <c r="CP23" s="128">
        <f t="shared" si="21"/>
        <v>13486.850847891434</v>
      </c>
      <c r="CQ23" s="128">
        <f t="shared" si="21"/>
        <v>14824.341846476827</v>
      </c>
      <c r="CR23" s="128">
        <f t="shared" si="21"/>
        <v>16294.471827391935</v>
      </c>
      <c r="CT23" s="125">
        <f t="shared" si="22"/>
        <v>0</v>
      </c>
      <c r="CU23" s="125">
        <f t="shared" si="22"/>
        <v>0</v>
      </c>
      <c r="CV23" s="125">
        <f t="shared" si="22"/>
        <v>0.62674560000000012</v>
      </c>
      <c r="CW23" s="125">
        <f t="shared" si="22"/>
        <v>7.3120320000000012</v>
      </c>
      <c r="CX23" s="125">
        <f t="shared" si="22"/>
        <v>23.502960000000005</v>
      </c>
      <c r="CY23" s="125">
        <f t="shared" si="22"/>
        <v>57.45168000000001</v>
      </c>
      <c r="CZ23" s="125">
        <f t="shared" si="22"/>
        <v>61.013684160000011</v>
      </c>
      <c r="DA23" s="125">
        <f t="shared" si="22"/>
        <v>64.796532577920019</v>
      </c>
      <c r="DB23" s="125">
        <f t="shared" si="22"/>
        <v>68.813917597751072</v>
      </c>
      <c r="DC23" s="125">
        <f t="shared" si="22"/>
        <v>73.080380488811642</v>
      </c>
      <c r="DE23" s="127">
        <f t="shared" si="23"/>
        <v>0</v>
      </c>
      <c r="DF23" s="127">
        <f t="shared" si="23"/>
        <v>0</v>
      </c>
      <c r="DG23" s="127">
        <f t="shared" si="23"/>
        <v>2.2577959551485931E-2</v>
      </c>
      <c r="DH23" s="127">
        <f t="shared" si="23"/>
        <v>7.28300613256712E-2</v>
      </c>
      <c r="DI23" s="127">
        <f t="shared" si="23"/>
        <v>0.11689171083942129</v>
      </c>
      <c r="DJ23" s="127">
        <f t="shared" si="23"/>
        <v>0.12408615464658529</v>
      </c>
      <c r="DK23" s="127">
        <f t="shared" si="23"/>
        <v>0.12478113344000574</v>
      </c>
      <c r="DL23" s="127">
        <f t="shared" si="23"/>
        <v>0.1254426931974244</v>
      </c>
      <c r="DM23" s="127">
        <f t="shared" si="23"/>
        <v>0.12607207551746955</v>
      </c>
      <c r="DN23" s="127">
        <f t="shared" si="23"/>
        <v>0.12667051493108614</v>
      </c>
      <c r="DP23" s="127">
        <v>0.24</v>
      </c>
      <c r="DQ23" s="512">
        <f t="shared" si="34"/>
        <v>-6.500000000000148E-3</v>
      </c>
      <c r="DR23" s="506">
        <f t="shared" si="34"/>
        <v>0.05</v>
      </c>
      <c r="DS23" s="506">
        <f t="shared" si="31"/>
        <v>0.1</v>
      </c>
      <c r="DT23" s="506">
        <f t="shared" si="31"/>
        <v>0.15000000000000002</v>
      </c>
      <c r="DU23" s="506">
        <f t="shared" si="35"/>
        <v>0.22</v>
      </c>
      <c r="DV23" s="506">
        <f t="shared" si="35"/>
        <v>0.25</v>
      </c>
      <c r="DW23" s="506">
        <f t="shared" si="24"/>
        <v>0.25</v>
      </c>
      <c r="DX23" s="506">
        <f t="shared" si="24"/>
        <v>0.25</v>
      </c>
      <c r="DY23" s="506">
        <f t="shared" si="24"/>
        <v>0.25</v>
      </c>
      <c r="EA23" s="20">
        <f t="shared" si="32"/>
        <v>0</v>
      </c>
      <c r="EB23" s="20">
        <f t="shared" si="25"/>
        <v>0</v>
      </c>
      <c r="EC23" s="128">
        <f t="shared" si="25"/>
        <v>104.34507086937876</v>
      </c>
      <c r="ED23" s="128">
        <f t="shared" si="25"/>
        <v>1193.6526922873409</v>
      </c>
      <c r="EE23" s="128">
        <f t="shared" si="25"/>
        <v>3750.4141287135285</v>
      </c>
      <c r="EF23" s="128">
        <f t="shared" si="25"/>
        <v>8707.1379312979716</v>
      </c>
      <c r="EG23" s="128">
        <f t="shared" si="25"/>
        <v>9202.5238461007611</v>
      </c>
      <c r="EH23" s="128">
        <f t="shared" si="25"/>
        <v>10115.138135918576</v>
      </c>
      <c r="EI23" s="128">
        <f t="shared" si="25"/>
        <v>11118.256384857621</v>
      </c>
      <c r="EJ23" s="128">
        <f t="shared" si="25"/>
        <v>12220.853870543951</v>
      </c>
    </row>
    <row r="24" spans="2:140" ht="15.75">
      <c r="B24" s="19" t="s">
        <v>175</v>
      </c>
      <c r="C24" s="124" t="s">
        <v>184</v>
      </c>
      <c r="D24" s="19" t="str">
        <f>$D$10</f>
        <v>Cake Mix</v>
      </c>
      <c r="E24" s="153">
        <f>E$10</f>
        <v>0.18</v>
      </c>
      <c r="F24" s="170">
        <f t="shared" ref="F24:H24" si="71">F$10</f>
        <v>0.5</v>
      </c>
      <c r="G24" s="151">
        <f t="shared" si="71"/>
        <v>1</v>
      </c>
      <c r="H24" s="19" t="str">
        <f t="shared" si="71"/>
        <v>500gr</v>
      </c>
      <c r="J24" s="125"/>
      <c r="K24" s="125"/>
      <c r="L24" s="125"/>
      <c r="M24" s="125"/>
      <c r="N24" s="125"/>
      <c r="O24" s="125"/>
      <c r="P24" s="125"/>
      <c r="Q24" s="125"/>
      <c r="R24" s="125"/>
      <c r="S24" s="125"/>
      <c r="U24" s="125"/>
      <c r="V24" s="125"/>
      <c r="W24" s="125"/>
      <c r="X24" s="125"/>
      <c r="Y24" s="125"/>
      <c r="Z24" s="508">
        <f t="shared" si="65"/>
        <v>0</v>
      </c>
      <c r="AA24" s="508">
        <f t="shared" si="65"/>
        <v>0</v>
      </c>
      <c r="AB24" s="508">
        <f t="shared" si="65"/>
        <v>0</v>
      </c>
      <c r="AC24" s="508">
        <f t="shared" si="65"/>
        <v>0</v>
      </c>
      <c r="AD24" s="508">
        <f t="shared" si="65"/>
        <v>0</v>
      </c>
      <c r="AF24" s="165">
        <v>1</v>
      </c>
      <c r="AG24" s="165">
        <v>1</v>
      </c>
      <c r="AH24" s="165">
        <v>1</v>
      </c>
      <c r="AI24" s="165">
        <v>1</v>
      </c>
      <c r="AJ24" s="165">
        <v>1</v>
      </c>
      <c r="AK24" s="509">
        <f t="shared" si="27"/>
        <v>1</v>
      </c>
      <c r="AL24" s="509">
        <f t="shared" si="27"/>
        <v>1</v>
      </c>
      <c r="AM24" s="509">
        <f t="shared" si="27"/>
        <v>1</v>
      </c>
      <c r="AN24" s="509">
        <f t="shared" si="27"/>
        <v>1</v>
      </c>
      <c r="AO24" s="509">
        <f t="shared" si="27"/>
        <v>1</v>
      </c>
      <c r="AQ24" s="152"/>
      <c r="AR24" s="152"/>
      <c r="AS24" s="152"/>
      <c r="AT24" s="152"/>
      <c r="AU24" s="152"/>
      <c r="AV24" s="152"/>
      <c r="AW24" s="510">
        <f t="shared" si="54"/>
        <v>0</v>
      </c>
      <c r="AX24" s="510">
        <f t="shared" si="54"/>
        <v>0</v>
      </c>
      <c r="AY24" s="510">
        <f t="shared" si="54"/>
        <v>0</v>
      </c>
      <c r="AZ24" s="510">
        <f t="shared" si="54"/>
        <v>0</v>
      </c>
      <c r="BB24" s="152"/>
      <c r="BC24" s="152">
        <v>6</v>
      </c>
      <c r="BD24" s="152">
        <v>6</v>
      </c>
      <c r="BE24" s="152">
        <v>12</v>
      </c>
      <c r="BF24" s="152">
        <v>12</v>
      </c>
      <c r="BG24" s="508">
        <f t="shared" si="60"/>
        <v>12</v>
      </c>
      <c r="BH24" s="508">
        <f t="shared" si="60"/>
        <v>12</v>
      </c>
      <c r="BI24" s="508">
        <f t="shared" si="60"/>
        <v>12</v>
      </c>
      <c r="BJ24" s="508">
        <f t="shared" si="60"/>
        <v>12</v>
      </c>
      <c r="BK24" s="508">
        <f t="shared" si="52"/>
        <v>12</v>
      </c>
      <c r="BM24" s="125">
        <f t="shared" si="30"/>
        <v>0</v>
      </c>
      <c r="BN24" s="125">
        <f t="shared" si="30"/>
        <v>0</v>
      </c>
      <c r="BO24" s="125">
        <f t="shared" si="30"/>
        <v>0</v>
      </c>
      <c r="BP24" s="125">
        <f t="shared" si="30"/>
        <v>0</v>
      </c>
      <c r="BQ24" s="125">
        <f t="shared" si="30"/>
        <v>0</v>
      </c>
      <c r="BR24" s="125">
        <f t="shared" si="30"/>
        <v>0</v>
      </c>
      <c r="BS24" s="125">
        <f t="shared" si="30"/>
        <v>0</v>
      </c>
      <c r="BT24" s="125">
        <f t="shared" si="30"/>
        <v>0</v>
      </c>
      <c r="BU24" s="125">
        <f t="shared" si="30"/>
        <v>0</v>
      </c>
      <c r="BV24" s="125">
        <f t="shared" si="30"/>
        <v>0</v>
      </c>
      <c r="BX24" s="513">
        <f t="shared" si="70"/>
        <v>0</v>
      </c>
      <c r="BY24" s="513">
        <f t="shared" si="70"/>
        <v>0</v>
      </c>
      <c r="BZ24" s="513">
        <f t="shared" si="70"/>
        <v>0</v>
      </c>
      <c r="CA24" s="511">
        <f t="shared" si="67"/>
        <v>0</v>
      </c>
      <c r="CB24" s="511">
        <f t="shared" si="67"/>
        <v>0</v>
      </c>
      <c r="CC24" s="511">
        <f t="shared" si="67"/>
        <v>0</v>
      </c>
      <c r="CD24" s="511">
        <f t="shared" si="67"/>
        <v>0</v>
      </c>
      <c r="CE24" s="511">
        <f t="shared" si="67"/>
        <v>0</v>
      </c>
      <c r="CF24" s="511">
        <f t="shared" si="67"/>
        <v>0</v>
      </c>
      <c r="CG24" s="511">
        <f t="shared" si="67"/>
        <v>0</v>
      </c>
      <c r="CI24" s="128">
        <f t="shared" ref="CI24:CR47" si="72">+BX24*BM24</f>
        <v>0</v>
      </c>
      <c r="CJ24" s="128">
        <f t="shared" si="72"/>
        <v>0</v>
      </c>
      <c r="CK24" s="128">
        <f t="shared" si="72"/>
        <v>0</v>
      </c>
      <c r="CL24" s="128">
        <f t="shared" si="72"/>
        <v>0</v>
      </c>
      <c r="CM24" s="128">
        <f t="shared" si="72"/>
        <v>0</v>
      </c>
      <c r="CN24" s="128">
        <f t="shared" si="72"/>
        <v>0</v>
      </c>
      <c r="CO24" s="128">
        <f t="shared" si="72"/>
        <v>0</v>
      </c>
      <c r="CP24" s="128">
        <f t="shared" si="72"/>
        <v>0</v>
      </c>
      <c r="CQ24" s="128">
        <f t="shared" si="72"/>
        <v>0</v>
      </c>
      <c r="CR24" s="128">
        <f t="shared" si="72"/>
        <v>0</v>
      </c>
      <c r="CT24" s="125">
        <f t="shared" ref="CT24:DC47" si="73">BM24 * $E24*$F24*$G24</f>
        <v>0</v>
      </c>
      <c r="CU24" s="125">
        <f t="shared" si="73"/>
        <v>0</v>
      </c>
      <c r="CV24" s="125">
        <f t="shared" si="73"/>
        <v>0</v>
      </c>
      <c r="CW24" s="125">
        <f t="shared" si="73"/>
        <v>0</v>
      </c>
      <c r="CX24" s="125">
        <f t="shared" si="73"/>
        <v>0</v>
      </c>
      <c r="CY24" s="125">
        <f t="shared" si="73"/>
        <v>0</v>
      </c>
      <c r="CZ24" s="125">
        <f t="shared" si="73"/>
        <v>0</v>
      </c>
      <c r="DA24" s="125">
        <f t="shared" si="73"/>
        <v>0</v>
      </c>
      <c r="DB24" s="125">
        <f t="shared" si="73"/>
        <v>0</v>
      </c>
      <c r="DC24" s="125">
        <f t="shared" si="73"/>
        <v>0</v>
      </c>
      <c r="DE24" s="127">
        <f t="shared" si="23"/>
        <v>0</v>
      </c>
      <c r="DF24" s="127">
        <f t="shared" si="23"/>
        <v>0</v>
      </c>
      <c r="DG24" s="127">
        <f t="shared" si="23"/>
        <v>0</v>
      </c>
      <c r="DH24" s="127">
        <f t="shared" si="23"/>
        <v>0</v>
      </c>
      <c r="DI24" s="127">
        <f t="shared" si="23"/>
        <v>0</v>
      </c>
      <c r="DJ24" s="127">
        <f t="shared" si="23"/>
        <v>0</v>
      </c>
      <c r="DK24" s="127">
        <f t="shared" si="23"/>
        <v>0</v>
      </c>
      <c r="DL24" s="127">
        <f t="shared" si="23"/>
        <v>0</v>
      </c>
      <c r="DM24" s="127">
        <f t="shared" si="23"/>
        <v>0</v>
      </c>
      <c r="DN24" s="127">
        <f t="shared" si="23"/>
        <v>0</v>
      </c>
      <c r="DP24" s="127">
        <v>0.24</v>
      </c>
      <c r="DQ24" s="512">
        <f t="shared" si="34"/>
        <v>-6.500000000000148E-3</v>
      </c>
      <c r="DR24" s="506">
        <f t="shared" si="34"/>
        <v>0.05</v>
      </c>
      <c r="DS24" s="506">
        <f t="shared" si="31"/>
        <v>0.1</v>
      </c>
      <c r="DT24" s="506">
        <f t="shared" si="31"/>
        <v>0.15000000000000002</v>
      </c>
      <c r="DU24" s="506">
        <f t="shared" si="35"/>
        <v>0.22</v>
      </c>
      <c r="DV24" s="506">
        <f t="shared" si="35"/>
        <v>0.25</v>
      </c>
      <c r="DW24" s="506">
        <f t="shared" ref="DW24:DY35" si="74">DV24</f>
        <v>0.25</v>
      </c>
      <c r="DX24" s="506">
        <f t="shared" si="74"/>
        <v>0.25</v>
      </c>
      <c r="DY24" s="506">
        <f t="shared" si="74"/>
        <v>0.25</v>
      </c>
      <c r="EA24" s="20">
        <f t="shared" si="32"/>
        <v>0</v>
      </c>
      <c r="EB24" s="20">
        <f t="shared" si="25"/>
        <v>0</v>
      </c>
      <c r="EC24" s="128">
        <f t="shared" si="25"/>
        <v>0</v>
      </c>
      <c r="ED24" s="128">
        <f t="shared" si="25"/>
        <v>0</v>
      </c>
      <c r="EE24" s="128">
        <f t="shared" si="25"/>
        <v>0</v>
      </c>
      <c r="EF24" s="128">
        <f t="shared" si="25"/>
        <v>0</v>
      </c>
      <c r="EG24" s="128">
        <f t="shared" si="25"/>
        <v>0</v>
      </c>
      <c r="EH24" s="128">
        <f t="shared" si="25"/>
        <v>0</v>
      </c>
      <c r="EI24" s="128">
        <f t="shared" si="25"/>
        <v>0</v>
      </c>
      <c r="EJ24" s="128">
        <f t="shared" si="25"/>
        <v>0</v>
      </c>
    </row>
    <row r="25" spans="2:140" ht="15.75">
      <c r="B25" s="19" t="s">
        <v>175</v>
      </c>
      <c r="C25" s="124" t="s">
        <v>184</v>
      </c>
      <c r="D25" s="19" t="str">
        <f>$D$11</f>
        <v>Milk Barista</v>
      </c>
      <c r="E25" s="153">
        <f>E$11</f>
        <v>0.02</v>
      </c>
      <c r="F25" s="170">
        <f t="shared" ref="F25:H25" si="75">F$11</f>
        <v>1</v>
      </c>
      <c r="G25" s="151">
        <f t="shared" si="75"/>
        <v>1</v>
      </c>
      <c r="H25" s="19" t="str">
        <f t="shared" si="75"/>
        <v>1L</v>
      </c>
      <c r="J25" s="152"/>
      <c r="K25" s="152"/>
      <c r="L25" s="152"/>
      <c r="M25" s="152">
        <v>6</v>
      </c>
      <c r="N25" s="152">
        <v>6</v>
      </c>
      <c r="O25" s="152">
        <v>8</v>
      </c>
      <c r="P25" s="508">
        <f t="shared" ref="P25:S26" si="76">O25</f>
        <v>8</v>
      </c>
      <c r="Q25" s="508">
        <f t="shared" si="76"/>
        <v>8</v>
      </c>
      <c r="R25" s="508">
        <f t="shared" si="76"/>
        <v>8</v>
      </c>
      <c r="S25" s="508">
        <f t="shared" si="76"/>
        <v>8</v>
      </c>
      <c r="U25" s="152"/>
      <c r="V25" s="152">
        <v>52</v>
      </c>
      <c r="W25" s="508">
        <v>26</v>
      </c>
      <c r="X25" s="152">
        <v>52</v>
      </c>
      <c r="Y25" s="152">
        <v>52</v>
      </c>
      <c r="Z25" s="508">
        <f t="shared" si="65"/>
        <v>52</v>
      </c>
      <c r="AA25" s="508">
        <f t="shared" si="65"/>
        <v>52</v>
      </c>
      <c r="AB25" s="508">
        <f t="shared" si="65"/>
        <v>52</v>
      </c>
      <c r="AC25" s="508">
        <f t="shared" si="65"/>
        <v>52</v>
      </c>
      <c r="AD25" s="508">
        <f t="shared" si="65"/>
        <v>52</v>
      </c>
      <c r="AF25" s="165">
        <v>1</v>
      </c>
      <c r="AG25" s="165">
        <v>1</v>
      </c>
      <c r="AH25" s="165">
        <v>1</v>
      </c>
      <c r="AI25" s="165">
        <v>1</v>
      </c>
      <c r="AJ25" s="165">
        <v>1</v>
      </c>
      <c r="AK25" s="509">
        <f t="shared" ref="AK25:AO28" si="77">AJ25</f>
        <v>1</v>
      </c>
      <c r="AL25" s="509">
        <f t="shared" si="77"/>
        <v>1</v>
      </c>
      <c r="AM25" s="509">
        <f t="shared" si="77"/>
        <v>1</v>
      </c>
      <c r="AN25" s="509">
        <f t="shared" si="77"/>
        <v>1</v>
      </c>
      <c r="AO25" s="509">
        <f t="shared" si="77"/>
        <v>1</v>
      </c>
      <c r="AQ25" s="152"/>
      <c r="AR25" s="152"/>
      <c r="AS25" s="514">
        <f>AS22</f>
        <v>150</v>
      </c>
      <c r="AT25" s="514">
        <f>AT22</f>
        <v>700</v>
      </c>
      <c r="AU25" s="514">
        <f>AU22</f>
        <v>2250</v>
      </c>
      <c r="AV25" s="514">
        <f>AV22</f>
        <v>5500</v>
      </c>
      <c r="AW25" s="510">
        <f t="shared" si="54"/>
        <v>5841</v>
      </c>
      <c r="AX25" s="510">
        <f t="shared" si="54"/>
        <v>6203.1420000000007</v>
      </c>
      <c r="AY25" s="510">
        <f t="shared" si="54"/>
        <v>6587.736804000001</v>
      </c>
      <c r="AZ25" s="510">
        <f t="shared" si="54"/>
        <v>6996.1764858480019</v>
      </c>
      <c r="BB25" s="152"/>
      <c r="BC25" s="152">
        <v>1</v>
      </c>
      <c r="BD25" s="152">
        <v>2</v>
      </c>
      <c r="BE25" s="152">
        <v>3</v>
      </c>
      <c r="BF25" s="152">
        <v>3</v>
      </c>
      <c r="BG25" s="508">
        <f t="shared" si="60"/>
        <v>3</v>
      </c>
      <c r="BH25" s="508">
        <f t="shared" si="60"/>
        <v>3</v>
      </c>
      <c r="BI25" s="508">
        <f t="shared" si="60"/>
        <v>3</v>
      </c>
      <c r="BJ25" s="508">
        <f t="shared" si="60"/>
        <v>3</v>
      </c>
      <c r="BK25" s="508">
        <f t="shared" si="52"/>
        <v>3</v>
      </c>
      <c r="BM25" s="125">
        <f t="shared" si="30"/>
        <v>0</v>
      </c>
      <c r="BN25" s="125">
        <f t="shared" si="30"/>
        <v>0</v>
      </c>
      <c r="BO25" s="125">
        <f t="shared" si="30"/>
        <v>0</v>
      </c>
      <c r="BP25" s="125">
        <f t="shared" si="30"/>
        <v>655.20000000000005</v>
      </c>
      <c r="BQ25" s="125">
        <f t="shared" si="30"/>
        <v>2106</v>
      </c>
      <c r="BR25" s="125">
        <f t="shared" si="30"/>
        <v>6864</v>
      </c>
      <c r="BS25" s="125">
        <f t="shared" si="30"/>
        <v>7289.5680000000002</v>
      </c>
      <c r="BT25" s="125">
        <f t="shared" si="30"/>
        <v>7741.5212160000001</v>
      </c>
      <c r="BU25" s="125">
        <f t="shared" si="30"/>
        <v>8221.4955313920018</v>
      </c>
      <c r="BV25" s="125">
        <f t="shared" si="30"/>
        <v>8731.2282543383062</v>
      </c>
      <c r="BX25" s="513">
        <f t="shared" si="70"/>
        <v>1.63</v>
      </c>
      <c r="BY25" s="513">
        <f t="shared" si="70"/>
        <v>1.63</v>
      </c>
      <c r="BZ25" s="513">
        <f t="shared" si="70"/>
        <v>1.63</v>
      </c>
      <c r="CA25" s="511">
        <f t="shared" si="67"/>
        <v>1.6870499999999997</v>
      </c>
      <c r="CB25" s="511">
        <f t="shared" si="67"/>
        <v>1.7460967499999995</v>
      </c>
      <c r="CC25" s="511">
        <f t="shared" si="67"/>
        <v>1.8072101362499993</v>
      </c>
      <c r="CD25" s="511">
        <f t="shared" si="67"/>
        <v>1.8704624910187491</v>
      </c>
      <c r="CE25" s="511">
        <f t="shared" si="67"/>
        <v>1.9359286782044052</v>
      </c>
      <c r="CF25" s="511">
        <f t="shared" si="67"/>
        <v>2.0036861819415592</v>
      </c>
      <c r="CG25" s="511">
        <f t="shared" si="67"/>
        <v>2.0738151983095134</v>
      </c>
      <c r="CI25" s="128">
        <f t="shared" si="72"/>
        <v>0</v>
      </c>
      <c r="CJ25" s="128">
        <f t="shared" si="72"/>
        <v>0</v>
      </c>
      <c r="CK25" s="128">
        <f t="shared" si="72"/>
        <v>0</v>
      </c>
      <c r="CL25" s="128">
        <f t="shared" si="72"/>
        <v>1105.3551599999998</v>
      </c>
      <c r="CM25" s="128">
        <f t="shared" si="72"/>
        <v>3677.2797554999988</v>
      </c>
      <c r="CN25" s="128">
        <f t="shared" si="72"/>
        <v>12404.690375219994</v>
      </c>
      <c r="CO25" s="128">
        <f t="shared" si="72"/>
        <v>13634.863519730561</v>
      </c>
      <c r="CP25" s="128">
        <f t="shared" si="72"/>
        <v>14987.03293498224</v>
      </c>
      <c r="CQ25" s="128">
        <f t="shared" si="72"/>
        <v>16473.296991144431</v>
      </c>
      <c r="CR25" s="128">
        <f t="shared" si="72"/>
        <v>18106.953853756222</v>
      </c>
      <c r="CT25" s="125">
        <f t="shared" si="73"/>
        <v>0</v>
      </c>
      <c r="CU25" s="125">
        <f t="shared" si="73"/>
        <v>0</v>
      </c>
      <c r="CV25" s="125">
        <f t="shared" si="73"/>
        <v>0</v>
      </c>
      <c r="CW25" s="125">
        <f t="shared" si="73"/>
        <v>13.104000000000001</v>
      </c>
      <c r="CX25" s="125">
        <f t="shared" si="73"/>
        <v>42.12</v>
      </c>
      <c r="CY25" s="125">
        <f t="shared" si="73"/>
        <v>137.28</v>
      </c>
      <c r="CZ25" s="125">
        <f t="shared" si="73"/>
        <v>145.79136</v>
      </c>
      <c r="DA25" s="125">
        <f t="shared" si="73"/>
        <v>154.83042431999999</v>
      </c>
      <c r="DB25" s="125">
        <f t="shared" si="73"/>
        <v>164.42991062784003</v>
      </c>
      <c r="DC25" s="125">
        <f t="shared" si="73"/>
        <v>174.62456508676613</v>
      </c>
      <c r="DE25" s="127">
        <f t="shared" si="23"/>
        <v>0</v>
      </c>
      <c r="DF25" s="127">
        <f t="shared" si="23"/>
        <v>0</v>
      </c>
      <c r="DG25" s="127">
        <f t="shared" si="23"/>
        <v>0</v>
      </c>
      <c r="DH25" s="127">
        <f t="shared" si="23"/>
        <v>0.13051982316428529</v>
      </c>
      <c r="DI25" s="127">
        <f t="shared" si="23"/>
        <v>0.20948335275881946</v>
      </c>
      <c r="DJ25" s="127">
        <f t="shared" si="23"/>
        <v>0.29650216164058607</v>
      </c>
      <c r="DK25" s="127">
        <f t="shared" si="23"/>
        <v>0.29816280391877115</v>
      </c>
      <c r="DL25" s="127">
        <f t="shared" si="23"/>
        <v>0.29974359186959226</v>
      </c>
      <c r="DM25" s="127">
        <f t="shared" si="23"/>
        <v>0.3012474922759128</v>
      </c>
      <c r="DN25" s="127">
        <f t="shared" si="23"/>
        <v>0.30267745503246379</v>
      </c>
      <c r="DP25" s="127">
        <v>0.24</v>
      </c>
      <c r="DQ25" s="512">
        <f t="shared" si="34"/>
        <v>-6.500000000000148E-3</v>
      </c>
      <c r="DR25" s="506">
        <f t="shared" si="34"/>
        <v>0.05</v>
      </c>
      <c r="DS25" s="506">
        <f t="shared" ref="DS25:DT35" si="78">DR25+5%</f>
        <v>0.1</v>
      </c>
      <c r="DT25" s="506">
        <f t="shared" si="78"/>
        <v>0.15000000000000002</v>
      </c>
      <c r="DU25" s="506">
        <f t="shared" si="35"/>
        <v>0.22</v>
      </c>
      <c r="DV25" s="506">
        <f t="shared" si="35"/>
        <v>0.25</v>
      </c>
      <c r="DW25" s="506">
        <f t="shared" si="74"/>
        <v>0.25</v>
      </c>
      <c r="DX25" s="506">
        <f t="shared" si="74"/>
        <v>0.25</v>
      </c>
      <c r="DY25" s="506">
        <f t="shared" si="74"/>
        <v>0.25</v>
      </c>
      <c r="EA25" s="20">
        <f t="shared" si="32"/>
        <v>0</v>
      </c>
      <c r="EB25" s="20">
        <f t="shared" si="25"/>
        <v>0</v>
      </c>
      <c r="EC25" s="128">
        <f t="shared" si="25"/>
        <v>0</v>
      </c>
      <c r="ED25" s="128">
        <f t="shared" si="25"/>
        <v>994.81964399999993</v>
      </c>
      <c r="EE25" s="128">
        <f t="shared" si="25"/>
        <v>3125.6877921749988</v>
      </c>
      <c r="EF25" s="128">
        <f t="shared" si="25"/>
        <v>9675.658492671595</v>
      </c>
      <c r="EG25" s="128">
        <f t="shared" si="25"/>
        <v>10226.14763979792</v>
      </c>
      <c r="EH25" s="128">
        <f t="shared" si="25"/>
        <v>11240.27470123668</v>
      </c>
      <c r="EI25" s="128">
        <f t="shared" si="25"/>
        <v>12354.972743358323</v>
      </c>
      <c r="EJ25" s="128">
        <f t="shared" si="25"/>
        <v>13580.215390317167</v>
      </c>
    </row>
    <row r="26" spans="2:140" ht="15.75">
      <c r="B26" s="19" t="s">
        <v>175</v>
      </c>
      <c r="C26" s="124" t="s">
        <v>184</v>
      </c>
      <c r="D26" s="19" t="str">
        <f>$D$12</f>
        <v>Milk</v>
      </c>
      <c r="E26" s="153">
        <f>E$12</f>
        <v>0.02</v>
      </c>
      <c r="F26" s="170">
        <f t="shared" ref="F26:H26" si="79">F$12</f>
        <v>1</v>
      </c>
      <c r="G26" s="151">
        <f t="shared" si="79"/>
        <v>1</v>
      </c>
      <c r="H26" s="19" t="str">
        <f t="shared" si="79"/>
        <v>1L</v>
      </c>
      <c r="J26" s="152"/>
      <c r="K26" s="152"/>
      <c r="L26" s="152"/>
      <c r="M26" s="152">
        <v>6</v>
      </c>
      <c r="N26" s="152">
        <v>6</v>
      </c>
      <c r="O26" s="152">
        <v>8</v>
      </c>
      <c r="P26" s="508">
        <f t="shared" si="76"/>
        <v>8</v>
      </c>
      <c r="Q26" s="508">
        <f t="shared" si="76"/>
        <v>8</v>
      </c>
      <c r="R26" s="508">
        <f t="shared" si="76"/>
        <v>8</v>
      </c>
      <c r="S26" s="508">
        <f t="shared" si="76"/>
        <v>8</v>
      </c>
      <c r="U26" s="152"/>
      <c r="V26" s="152"/>
      <c r="W26" s="508">
        <v>26</v>
      </c>
      <c r="X26" s="152">
        <v>52</v>
      </c>
      <c r="Y26" s="152">
        <v>52</v>
      </c>
      <c r="Z26" s="508">
        <f t="shared" si="65"/>
        <v>52</v>
      </c>
      <c r="AA26" s="508">
        <f t="shared" si="65"/>
        <v>52</v>
      </c>
      <c r="AB26" s="508">
        <f t="shared" si="65"/>
        <v>52</v>
      </c>
      <c r="AC26" s="508">
        <f t="shared" si="65"/>
        <v>52</v>
      </c>
      <c r="AD26" s="508">
        <f t="shared" si="65"/>
        <v>52</v>
      </c>
      <c r="AF26" s="165">
        <v>1</v>
      </c>
      <c r="AG26" s="165">
        <v>1</v>
      </c>
      <c r="AH26" s="165">
        <v>1</v>
      </c>
      <c r="AI26" s="165">
        <v>1</v>
      </c>
      <c r="AJ26" s="165">
        <v>1</v>
      </c>
      <c r="AK26" s="509">
        <f t="shared" si="77"/>
        <v>1</v>
      </c>
      <c r="AL26" s="509">
        <f t="shared" si="77"/>
        <v>1</v>
      </c>
      <c r="AM26" s="509">
        <f t="shared" si="77"/>
        <v>1</v>
      </c>
      <c r="AN26" s="509">
        <f t="shared" si="77"/>
        <v>1</v>
      </c>
      <c r="AO26" s="509">
        <f t="shared" si="77"/>
        <v>1</v>
      </c>
      <c r="AQ26" s="152"/>
      <c r="AR26" s="152"/>
      <c r="AS26" s="514">
        <f>AS25</f>
        <v>150</v>
      </c>
      <c r="AT26" s="514">
        <f>AT25</f>
        <v>700</v>
      </c>
      <c r="AU26" s="514">
        <f t="shared" ref="AU26:AV26" si="80">AU25</f>
        <v>2250</v>
      </c>
      <c r="AV26" s="514">
        <f t="shared" si="80"/>
        <v>5500</v>
      </c>
      <c r="AW26" s="510">
        <f t="shared" si="54"/>
        <v>5841</v>
      </c>
      <c r="AX26" s="510">
        <f t="shared" si="54"/>
        <v>6203.1420000000007</v>
      </c>
      <c r="AY26" s="510">
        <f t="shared" si="54"/>
        <v>6587.736804000001</v>
      </c>
      <c r="AZ26" s="510">
        <f t="shared" si="54"/>
        <v>6996.1764858480019</v>
      </c>
      <c r="BB26" s="152"/>
      <c r="BC26" s="152">
        <v>1</v>
      </c>
      <c r="BD26" s="152">
        <v>2</v>
      </c>
      <c r="BE26" s="152">
        <v>3</v>
      </c>
      <c r="BF26" s="152">
        <v>3</v>
      </c>
      <c r="BG26" s="508">
        <f t="shared" si="60"/>
        <v>3</v>
      </c>
      <c r="BH26" s="508">
        <f t="shared" si="60"/>
        <v>3</v>
      </c>
      <c r="BI26" s="508">
        <f t="shared" si="60"/>
        <v>3</v>
      </c>
      <c r="BJ26" s="508">
        <f t="shared" si="60"/>
        <v>3</v>
      </c>
      <c r="BK26" s="508">
        <f t="shared" si="52"/>
        <v>3</v>
      </c>
      <c r="BM26" s="125">
        <f t="shared" si="30"/>
        <v>0</v>
      </c>
      <c r="BN26" s="125">
        <f t="shared" si="30"/>
        <v>0</v>
      </c>
      <c r="BO26" s="125">
        <f t="shared" si="30"/>
        <v>0</v>
      </c>
      <c r="BP26" s="125">
        <f t="shared" si="30"/>
        <v>655.20000000000005</v>
      </c>
      <c r="BQ26" s="125">
        <f t="shared" si="30"/>
        <v>2106</v>
      </c>
      <c r="BR26" s="125">
        <f t="shared" si="30"/>
        <v>6864</v>
      </c>
      <c r="BS26" s="125">
        <f t="shared" si="30"/>
        <v>7289.5680000000002</v>
      </c>
      <c r="BT26" s="125">
        <f t="shared" si="30"/>
        <v>7741.5212160000001</v>
      </c>
      <c r="BU26" s="125">
        <f t="shared" si="30"/>
        <v>8221.4955313920018</v>
      </c>
      <c r="BV26" s="125">
        <f t="shared" si="30"/>
        <v>8731.2282543383062</v>
      </c>
      <c r="BX26" s="513">
        <f t="shared" si="70"/>
        <v>0.8323026585210388</v>
      </c>
      <c r="BY26" s="513">
        <f t="shared" si="70"/>
        <v>0.8323026585210388</v>
      </c>
      <c r="BZ26" s="513">
        <f t="shared" si="70"/>
        <v>0.8323026585210388</v>
      </c>
      <c r="CA26" s="511">
        <f t="shared" si="67"/>
        <v>0.86143325156927508</v>
      </c>
      <c r="CB26" s="511">
        <f t="shared" si="67"/>
        <v>0.89158341537419961</v>
      </c>
      <c r="CC26" s="511">
        <f t="shared" si="67"/>
        <v>0.92278883491229657</v>
      </c>
      <c r="CD26" s="511">
        <f t="shared" si="67"/>
        <v>0.95508644413422683</v>
      </c>
      <c r="CE26" s="511">
        <f t="shared" si="67"/>
        <v>0.98851446967892465</v>
      </c>
      <c r="CF26" s="511">
        <f t="shared" si="67"/>
        <v>1.0231124761176869</v>
      </c>
      <c r="CG26" s="511">
        <f t="shared" si="67"/>
        <v>1.0589214127818058</v>
      </c>
      <c r="CI26" s="128">
        <f t="shared" si="72"/>
        <v>0</v>
      </c>
      <c r="CJ26" s="128">
        <f t="shared" si="72"/>
        <v>0</v>
      </c>
      <c r="CK26" s="128">
        <f t="shared" si="72"/>
        <v>0</v>
      </c>
      <c r="CL26" s="128">
        <f t="shared" si="72"/>
        <v>564.41106642818909</v>
      </c>
      <c r="CM26" s="128">
        <f t="shared" si="72"/>
        <v>1877.6746727780644</v>
      </c>
      <c r="CN26" s="128">
        <f t="shared" si="72"/>
        <v>6334.022562838004</v>
      </c>
      <c r="CO26" s="128">
        <f t="shared" si="72"/>
        <v>6962.1675803946482</v>
      </c>
      <c r="CP26" s="128">
        <f t="shared" si="72"/>
        <v>7652.6057393423844</v>
      </c>
      <c r="CQ26" s="128">
        <f t="shared" si="72"/>
        <v>8411.5146505129687</v>
      </c>
      <c r="CR26" s="128">
        <f t="shared" si="72"/>
        <v>9245.6845584043404</v>
      </c>
      <c r="CT26" s="125">
        <f t="shared" si="73"/>
        <v>0</v>
      </c>
      <c r="CU26" s="125">
        <f t="shared" si="73"/>
        <v>0</v>
      </c>
      <c r="CV26" s="125">
        <f t="shared" si="73"/>
        <v>0</v>
      </c>
      <c r="CW26" s="125">
        <f t="shared" si="73"/>
        <v>13.104000000000001</v>
      </c>
      <c r="CX26" s="125">
        <f t="shared" si="73"/>
        <v>42.12</v>
      </c>
      <c r="CY26" s="125">
        <f t="shared" si="73"/>
        <v>137.28</v>
      </c>
      <c r="CZ26" s="125">
        <f t="shared" si="73"/>
        <v>145.79136</v>
      </c>
      <c r="DA26" s="125">
        <f t="shared" si="73"/>
        <v>154.83042431999999</v>
      </c>
      <c r="DB26" s="125">
        <f t="shared" si="73"/>
        <v>164.42991062784003</v>
      </c>
      <c r="DC26" s="125">
        <f t="shared" si="73"/>
        <v>174.62456508676613</v>
      </c>
      <c r="DE26" s="127">
        <f t="shared" si="23"/>
        <v>0</v>
      </c>
      <c r="DF26" s="127">
        <f t="shared" si="23"/>
        <v>0</v>
      </c>
      <c r="DG26" s="127">
        <f t="shared" si="23"/>
        <v>0</v>
      </c>
      <c r="DH26" s="127">
        <f t="shared" si="23"/>
        <v>0.13051982316428529</v>
      </c>
      <c r="DI26" s="127">
        <f t="shared" si="23"/>
        <v>0.20948335275881946</v>
      </c>
      <c r="DJ26" s="127">
        <f t="shared" si="23"/>
        <v>0.29650216164058607</v>
      </c>
      <c r="DK26" s="127">
        <f t="shared" si="23"/>
        <v>0.29816280391877115</v>
      </c>
      <c r="DL26" s="127">
        <f t="shared" si="23"/>
        <v>0.29974359186959226</v>
      </c>
      <c r="DM26" s="127">
        <f t="shared" si="23"/>
        <v>0.3012474922759128</v>
      </c>
      <c r="DN26" s="127">
        <f t="shared" si="23"/>
        <v>0.30267745503246379</v>
      </c>
      <c r="DP26" s="127">
        <v>0.24</v>
      </c>
      <c r="DQ26" s="512">
        <f t="shared" ref="DQ26:DR35" si="81">DQ25</f>
        <v>-6.500000000000148E-3</v>
      </c>
      <c r="DR26" s="506">
        <f t="shared" si="81"/>
        <v>0.05</v>
      </c>
      <c r="DS26" s="506">
        <f t="shared" si="78"/>
        <v>0.1</v>
      </c>
      <c r="DT26" s="506">
        <f t="shared" si="78"/>
        <v>0.15000000000000002</v>
      </c>
      <c r="DU26" s="506">
        <f t="shared" ref="DU26:DV35" si="82">DU25</f>
        <v>0.22</v>
      </c>
      <c r="DV26" s="506">
        <f t="shared" si="82"/>
        <v>0.25</v>
      </c>
      <c r="DW26" s="506">
        <f t="shared" si="74"/>
        <v>0.25</v>
      </c>
      <c r="DX26" s="506">
        <f t="shared" si="74"/>
        <v>0.25</v>
      </c>
      <c r="DY26" s="506">
        <f t="shared" si="74"/>
        <v>0.25</v>
      </c>
      <c r="EA26" s="20">
        <f t="shared" si="32"/>
        <v>0</v>
      </c>
      <c r="EB26" s="20">
        <f t="shared" si="25"/>
        <v>0</v>
      </c>
      <c r="EC26" s="128">
        <f t="shared" si="25"/>
        <v>0</v>
      </c>
      <c r="ED26" s="128">
        <f t="shared" si="25"/>
        <v>507.96995978537018</v>
      </c>
      <c r="EE26" s="128">
        <f t="shared" si="25"/>
        <v>1596.0234718613547</v>
      </c>
      <c r="EF26" s="128">
        <f t="shared" si="25"/>
        <v>4940.5375990136436</v>
      </c>
      <c r="EG26" s="128">
        <f t="shared" si="25"/>
        <v>5221.6256852959859</v>
      </c>
      <c r="EH26" s="128">
        <f t="shared" si="25"/>
        <v>5739.4543045067885</v>
      </c>
      <c r="EI26" s="128">
        <f t="shared" si="25"/>
        <v>6308.635987884727</v>
      </c>
      <c r="EJ26" s="128">
        <f t="shared" si="25"/>
        <v>6934.2634188032553</v>
      </c>
    </row>
    <row r="27" spans="2:140" ht="15.75">
      <c r="B27" s="19" t="s">
        <v>175</v>
      </c>
      <c r="C27" s="124" t="s">
        <v>184</v>
      </c>
      <c r="D27" s="19" t="str">
        <f>$D$13</f>
        <v>Yogurt</v>
      </c>
      <c r="E27" s="153">
        <f>E$13</f>
        <v>0.02</v>
      </c>
      <c r="F27" s="170">
        <f t="shared" ref="F27:H27" si="83">F$13</f>
        <v>0.5</v>
      </c>
      <c r="G27" s="151">
        <f t="shared" si="83"/>
        <v>1</v>
      </c>
      <c r="H27" s="19" t="str">
        <f t="shared" si="83"/>
        <v>500g</v>
      </c>
      <c r="J27" s="152"/>
      <c r="K27" s="152"/>
      <c r="L27" s="152"/>
      <c r="M27" s="152"/>
      <c r="N27" s="152"/>
      <c r="O27" s="152"/>
      <c r="P27" s="152"/>
      <c r="Q27" s="152"/>
      <c r="R27" s="152"/>
      <c r="S27" s="152"/>
      <c r="U27" s="152"/>
      <c r="V27" s="152"/>
      <c r="W27" s="152"/>
      <c r="X27" s="152"/>
      <c r="Y27" s="152"/>
      <c r="Z27" s="508"/>
      <c r="AA27" s="508"/>
      <c r="AB27" s="508"/>
      <c r="AC27" s="508"/>
      <c r="AD27" s="508"/>
      <c r="AF27" s="165">
        <v>1</v>
      </c>
      <c r="AG27" s="165">
        <v>1</v>
      </c>
      <c r="AH27" s="165">
        <v>1</v>
      </c>
      <c r="AI27" s="165">
        <v>1</v>
      </c>
      <c r="AJ27" s="165">
        <v>1</v>
      </c>
      <c r="AK27" s="509">
        <f t="shared" si="77"/>
        <v>1</v>
      </c>
      <c r="AL27" s="509">
        <f t="shared" si="77"/>
        <v>1</v>
      </c>
      <c r="AM27" s="509">
        <f t="shared" si="77"/>
        <v>1</v>
      </c>
      <c r="AN27" s="509">
        <f t="shared" si="77"/>
        <v>1</v>
      </c>
      <c r="AO27" s="509">
        <f t="shared" si="77"/>
        <v>1</v>
      </c>
      <c r="AQ27" s="152"/>
      <c r="AR27" s="152"/>
      <c r="AS27" s="152"/>
      <c r="AT27" s="152"/>
      <c r="AU27" s="152"/>
      <c r="AV27" s="152"/>
      <c r="AW27" s="510">
        <f t="shared" si="54"/>
        <v>0</v>
      </c>
      <c r="AX27" s="510">
        <f t="shared" si="54"/>
        <v>0</v>
      </c>
      <c r="AY27" s="510">
        <f t="shared" si="54"/>
        <v>0</v>
      </c>
      <c r="AZ27" s="510">
        <f t="shared" si="54"/>
        <v>0</v>
      </c>
      <c r="BB27" s="152"/>
      <c r="BC27" s="152">
        <v>3</v>
      </c>
      <c r="BD27" s="152">
        <v>3</v>
      </c>
      <c r="BE27" s="152">
        <v>6</v>
      </c>
      <c r="BF27" s="152">
        <v>6</v>
      </c>
      <c r="BG27" s="508">
        <f t="shared" si="60"/>
        <v>6</v>
      </c>
      <c r="BH27" s="508">
        <f t="shared" si="60"/>
        <v>6</v>
      </c>
      <c r="BI27" s="508">
        <f t="shared" si="60"/>
        <v>6</v>
      </c>
      <c r="BJ27" s="508">
        <f t="shared" si="60"/>
        <v>6</v>
      </c>
      <c r="BK27" s="508">
        <f t="shared" si="52"/>
        <v>6</v>
      </c>
      <c r="BM27" s="125">
        <f t="shared" si="30"/>
        <v>0</v>
      </c>
      <c r="BN27" s="125">
        <f t="shared" si="30"/>
        <v>0</v>
      </c>
      <c r="BO27" s="125">
        <f t="shared" si="30"/>
        <v>0</v>
      </c>
      <c r="BP27" s="125">
        <f t="shared" si="30"/>
        <v>0</v>
      </c>
      <c r="BQ27" s="125">
        <f t="shared" si="30"/>
        <v>0</v>
      </c>
      <c r="BR27" s="125">
        <f t="shared" si="30"/>
        <v>0</v>
      </c>
      <c r="BS27" s="125">
        <f t="shared" si="30"/>
        <v>0</v>
      </c>
      <c r="BT27" s="125">
        <f t="shared" si="30"/>
        <v>0</v>
      </c>
      <c r="BU27" s="125">
        <f t="shared" si="30"/>
        <v>0</v>
      </c>
      <c r="BV27" s="125">
        <f t="shared" si="30"/>
        <v>0</v>
      </c>
      <c r="BX27" s="513">
        <f t="shared" si="70"/>
        <v>0</v>
      </c>
      <c r="BY27" s="513">
        <f t="shared" si="70"/>
        <v>0</v>
      </c>
      <c r="BZ27" s="513">
        <f t="shared" si="70"/>
        <v>0</v>
      </c>
      <c r="CA27" s="511">
        <f t="shared" si="67"/>
        <v>0</v>
      </c>
      <c r="CB27" s="511">
        <f t="shared" si="67"/>
        <v>0</v>
      </c>
      <c r="CC27" s="511">
        <f t="shared" si="67"/>
        <v>0</v>
      </c>
      <c r="CD27" s="511">
        <f t="shared" si="67"/>
        <v>0</v>
      </c>
      <c r="CE27" s="511">
        <f t="shared" si="67"/>
        <v>0</v>
      </c>
      <c r="CF27" s="511">
        <f t="shared" si="67"/>
        <v>0</v>
      </c>
      <c r="CG27" s="511">
        <f t="shared" si="67"/>
        <v>0</v>
      </c>
      <c r="CI27" s="128">
        <f t="shared" si="72"/>
        <v>0</v>
      </c>
      <c r="CJ27" s="128">
        <f t="shared" si="72"/>
        <v>0</v>
      </c>
      <c r="CK27" s="128">
        <f t="shared" si="72"/>
        <v>0</v>
      </c>
      <c r="CL27" s="128">
        <f t="shared" si="72"/>
        <v>0</v>
      </c>
      <c r="CM27" s="128">
        <f t="shared" si="72"/>
        <v>0</v>
      </c>
      <c r="CN27" s="128">
        <f t="shared" si="72"/>
        <v>0</v>
      </c>
      <c r="CO27" s="128">
        <f t="shared" si="72"/>
        <v>0</v>
      </c>
      <c r="CP27" s="128">
        <f t="shared" si="72"/>
        <v>0</v>
      </c>
      <c r="CQ27" s="128">
        <f t="shared" si="72"/>
        <v>0</v>
      </c>
      <c r="CR27" s="128">
        <f t="shared" si="72"/>
        <v>0</v>
      </c>
      <c r="CT27" s="125">
        <f t="shared" si="73"/>
        <v>0</v>
      </c>
      <c r="CU27" s="125">
        <f t="shared" si="73"/>
        <v>0</v>
      </c>
      <c r="CV27" s="125">
        <f t="shared" si="73"/>
        <v>0</v>
      </c>
      <c r="CW27" s="125">
        <f t="shared" si="73"/>
        <v>0</v>
      </c>
      <c r="CX27" s="125">
        <f t="shared" si="73"/>
        <v>0</v>
      </c>
      <c r="CY27" s="125">
        <f t="shared" si="73"/>
        <v>0</v>
      </c>
      <c r="CZ27" s="125">
        <f t="shared" si="73"/>
        <v>0</v>
      </c>
      <c r="DA27" s="125">
        <f t="shared" si="73"/>
        <v>0</v>
      </c>
      <c r="DB27" s="125">
        <f t="shared" si="73"/>
        <v>0</v>
      </c>
      <c r="DC27" s="125">
        <f t="shared" si="73"/>
        <v>0</v>
      </c>
      <c r="DE27" s="127">
        <f t="shared" si="23"/>
        <v>0</v>
      </c>
      <c r="DF27" s="127">
        <f t="shared" si="23"/>
        <v>0</v>
      </c>
      <c r="DG27" s="127">
        <f t="shared" si="23"/>
        <v>0</v>
      </c>
      <c r="DH27" s="127">
        <f t="shared" si="23"/>
        <v>0</v>
      </c>
      <c r="DI27" s="127">
        <f t="shared" si="23"/>
        <v>0</v>
      </c>
      <c r="DJ27" s="127">
        <f t="shared" si="23"/>
        <v>0</v>
      </c>
      <c r="DK27" s="127">
        <f t="shared" si="23"/>
        <v>0</v>
      </c>
      <c r="DL27" s="127">
        <f t="shared" si="23"/>
        <v>0</v>
      </c>
      <c r="DM27" s="127">
        <f t="shared" si="23"/>
        <v>0</v>
      </c>
      <c r="DN27" s="127">
        <f t="shared" si="23"/>
        <v>0</v>
      </c>
      <c r="DP27" s="127">
        <v>0.24</v>
      </c>
      <c r="DQ27" s="512">
        <f t="shared" si="81"/>
        <v>-6.500000000000148E-3</v>
      </c>
      <c r="DR27" s="506">
        <f t="shared" si="81"/>
        <v>0.05</v>
      </c>
      <c r="DS27" s="506">
        <f t="shared" si="78"/>
        <v>0.1</v>
      </c>
      <c r="DT27" s="506">
        <f t="shared" si="78"/>
        <v>0.15000000000000002</v>
      </c>
      <c r="DU27" s="506">
        <f t="shared" si="82"/>
        <v>0.22</v>
      </c>
      <c r="DV27" s="506">
        <f t="shared" si="82"/>
        <v>0.25</v>
      </c>
      <c r="DW27" s="506">
        <f t="shared" si="74"/>
        <v>0.25</v>
      </c>
      <c r="DX27" s="506">
        <f t="shared" si="74"/>
        <v>0.25</v>
      </c>
      <c r="DY27" s="506">
        <f t="shared" si="74"/>
        <v>0.25</v>
      </c>
      <c r="EA27" s="20">
        <f t="shared" si="32"/>
        <v>0</v>
      </c>
      <c r="EB27" s="20">
        <f t="shared" si="25"/>
        <v>0</v>
      </c>
      <c r="EC27" s="128">
        <f t="shared" si="25"/>
        <v>0</v>
      </c>
      <c r="ED27" s="128">
        <f t="shared" si="25"/>
        <v>0</v>
      </c>
      <c r="EE27" s="128">
        <f t="shared" si="25"/>
        <v>0</v>
      </c>
      <c r="EF27" s="128">
        <f t="shared" si="25"/>
        <v>0</v>
      </c>
      <c r="EG27" s="128">
        <f t="shared" si="25"/>
        <v>0</v>
      </c>
      <c r="EH27" s="128">
        <f t="shared" si="25"/>
        <v>0</v>
      </c>
      <c r="EI27" s="128">
        <f t="shared" si="25"/>
        <v>0</v>
      </c>
      <c r="EJ27" s="128">
        <f t="shared" si="25"/>
        <v>0</v>
      </c>
    </row>
    <row r="28" spans="2:140" ht="15.75">
      <c r="B28" s="19" t="s">
        <v>175</v>
      </c>
      <c r="C28" s="124" t="s">
        <v>184</v>
      </c>
      <c r="D28" s="19" t="str">
        <f>$D$14</f>
        <v>Sports Nutrition</v>
      </c>
      <c r="E28" s="153">
        <f>E$14</f>
        <v>0.88</v>
      </c>
      <c r="F28" s="170">
        <f t="shared" ref="F28:H28" si="84">F$14</f>
        <v>0.5</v>
      </c>
      <c r="G28" s="151">
        <f t="shared" si="84"/>
        <v>1</v>
      </c>
      <c r="H28" s="19" t="str">
        <f t="shared" si="84"/>
        <v>500g</v>
      </c>
      <c r="J28" s="152"/>
      <c r="K28" s="152"/>
      <c r="L28" s="152"/>
      <c r="M28" s="152"/>
      <c r="N28" s="152"/>
      <c r="O28" s="152"/>
      <c r="P28" s="152"/>
      <c r="Q28" s="152"/>
      <c r="R28" s="152"/>
      <c r="S28" s="152"/>
      <c r="U28" s="152"/>
      <c r="V28" s="152"/>
      <c r="W28" s="152"/>
      <c r="X28" s="152"/>
      <c r="Y28" s="152"/>
      <c r="Z28" s="508"/>
      <c r="AA28" s="508"/>
      <c r="AB28" s="508"/>
      <c r="AC28" s="508"/>
      <c r="AD28" s="508"/>
      <c r="AF28" s="165">
        <v>1</v>
      </c>
      <c r="AG28" s="165">
        <v>1</v>
      </c>
      <c r="AH28" s="165">
        <v>1</v>
      </c>
      <c r="AI28" s="165">
        <v>1</v>
      </c>
      <c r="AJ28" s="165">
        <v>1</v>
      </c>
      <c r="AK28" s="509">
        <f t="shared" si="77"/>
        <v>1</v>
      </c>
      <c r="AL28" s="509">
        <f t="shared" si="77"/>
        <v>1</v>
      </c>
      <c r="AM28" s="509">
        <f t="shared" si="77"/>
        <v>1</v>
      </c>
      <c r="AN28" s="509">
        <f t="shared" si="77"/>
        <v>1</v>
      </c>
      <c r="AO28" s="509">
        <f t="shared" si="77"/>
        <v>1</v>
      </c>
      <c r="AQ28" s="152"/>
      <c r="AR28" s="152"/>
      <c r="AS28" s="152"/>
      <c r="AT28" s="152"/>
      <c r="AU28" s="152"/>
      <c r="AV28" s="152"/>
      <c r="AW28" s="510">
        <f t="shared" si="54"/>
        <v>0</v>
      </c>
      <c r="AX28" s="510">
        <f t="shared" si="54"/>
        <v>0</v>
      </c>
      <c r="AY28" s="510">
        <f t="shared" si="54"/>
        <v>0</v>
      </c>
      <c r="AZ28" s="510">
        <f t="shared" si="54"/>
        <v>0</v>
      </c>
      <c r="BB28" s="152"/>
      <c r="BC28" s="152">
        <v>6</v>
      </c>
      <c r="BD28" s="152">
        <v>6</v>
      </c>
      <c r="BE28" s="152">
        <v>8</v>
      </c>
      <c r="BF28" s="152">
        <v>10</v>
      </c>
      <c r="BG28" s="508">
        <f t="shared" si="60"/>
        <v>10</v>
      </c>
      <c r="BH28" s="508">
        <f t="shared" si="60"/>
        <v>10</v>
      </c>
      <c r="BI28" s="508">
        <f t="shared" si="60"/>
        <v>10</v>
      </c>
      <c r="BJ28" s="508">
        <f t="shared" si="60"/>
        <v>10</v>
      </c>
      <c r="BK28" s="508">
        <f t="shared" si="52"/>
        <v>10</v>
      </c>
      <c r="BM28" s="125">
        <f t="shared" si="30"/>
        <v>0</v>
      </c>
      <c r="BN28" s="125">
        <f t="shared" si="30"/>
        <v>0</v>
      </c>
      <c r="BO28" s="125">
        <f t="shared" si="30"/>
        <v>0</v>
      </c>
      <c r="BP28" s="125">
        <f t="shared" si="30"/>
        <v>0</v>
      </c>
      <c r="BQ28" s="125">
        <f t="shared" si="30"/>
        <v>0</v>
      </c>
      <c r="BR28" s="125">
        <f t="shared" si="30"/>
        <v>0</v>
      </c>
      <c r="BS28" s="125">
        <f t="shared" si="30"/>
        <v>0</v>
      </c>
      <c r="BT28" s="125">
        <f t="shared" si="30"/>
        <v>0</v>
      </c>
      <c r="BU28" s="125">
        <f t="shared" si="30"/>
        <v>0</v>
      </c>
      <c r="BV28" s="125">
        <f t="shared" si="30"/>
        <v>0</v>
      </c>
      <c r="BX28" s="513">
        <f t="shared" si="70"/>
        <v>0</v>
      </c>
      <c r="BY28" s="513">
        <f t="shared" si="70"/>
        <v>0</v>
      </c>
      <c r="BZ28" s="513">
        <f t="shared" si="70"/>
        <v>0</v>
      </c>
      <c r="CA28" s="511">
        <f t="shared" si="67"/>
        <v>0</v>
      </c>
      <c r="CB28" s="511">
        <f t="shared" si="67"/>
        <v>0</v>
      </c>
      <c r="CC28" s="511">
        <f t="shared" si="67"/>
        <v>0</v>
      </c>
      <c r="CD28" s="511">
        <f t="shared" si="67"/>
        <v>0</v>
      </c>
      <c r="CE28" s="511">
        <f t="shared" si="67"/>
        <v>0</v>
      </c>
      <c r="CF28" s="511">
        <f t="shared" si="67"/>
        <v>0</v>
      </c>
      <c r="CG28" s="511">
        <f t="shared" si="67"/>
        <v>0</v>
      </c>
      <c r="CI28" s="128">
        <f t="shared" si="72"/>
        <v>0</v>
      </c>
      <c r="CJ28" s="128">
        <f t="shared" si="72"/>
        <v>0</v>
      </c>
      <c r="CK28" s="128">
        <f t="shared" si="72"/>
        <v>0</v>
      </c>
      <c r="CL28" s="128">
        <f t="shared" si="72"/>
        <v>0</v>
      </c>
      <c r="CM28" s="128">
        <f t="shared" si="72"/>
        <v>0</v>
      </c>
      <c r="CN28" s="128">
        <f t="shared" si="72"/>
        <v>0</v>
      </c>
      <c r="CO28" s="128">
        <f t="shared" si="72"/>
        <v>0</v>
      </c>
      <c r="CP28" s="128">
        <f t="shared" si="72"/>
        <v>0</v>
      </c>
      <c r="CQ28" s="128">
        <f t="shared" si="72"/>
        <v>0</v>
      </c>
      <c r="CR28" s="128">
        <f t="shared" si="72"/>
        <v>0</v>
      </c>
      <c r="CT28" s="125">
        <f t="shared" si="73"/>
        <v>0</v>
      </c>
      <c r="CU28" s="125">
        <f t="shared" si="73"/>
        <v>0</v>
      </c>
      <c r="CV28" s="125">
        <f t="shared" si="73"/>
        <v>0</v>
      </c>
      <c r="CW28" s="125">
        <f t="shared" si="73"/>
        <v>0</v>
      </c>
      <c r="CX28" s="125">
        <f t="shared" si="73"/>
        <v>0</v>
      </c>
      <c r="CY28" s="125">
        <f t="shared" si="73"/>
        <v>0</v>
      </c>
      <c r="CZ28" s="125">
        <f t="shared" si="73"/>
        <v>0</v>
      </c>
      <c r="DA28" s="125">
        <f t="shared" si="73"/>
        <v>0</v>
      </c>
      <c r="DB28" s="125">
        <f t="shared" si="73"/>
        <v>0</v>
      </c>
      <c r="DC28" s="125">
        <f t="shared" si="73"/>
        <v>0</v>
      </c>
      <c r="DE28" s="127">
        <f t="shared" si="23"/>
        <v>0</v>
      </c>
      <c r="DF28" s="127">
        <f t="shared" si="23"/>
        <v>0</v>
      </c>
      <c r="DG28" s="127">
        <f t="shared" si="23"/>
        <v>0</v>
      </c>
      <c r="DH28" s="127">
        <f t="shared" si="23"/>
        <v>0</v>
      </c>
      <c r="DI28" s="127">
        <f t="shared" si="23"/>
        <v>0</v>
      </c>
      <c r="DJ28" s="127">
        <f t="shared" si="23"/>
        <v>0</v>
      </c>
      <c r="DK28" s="127">
        <f t="shared" si="23"/>
        <v>0</v>
      </c>
      <c r="DL28" s="127">
        <f t="shared" si="23"/>
        <v>0</v>
      </c>
      <c r="DM28" s="127">
        <f t="shared" si="23"/>
        <v>0</v>
      </c>
      <c r="DN28" s="127">
        <f t="shared" si="23"/>
        <v>0</v>
      </c>
      <c r="DP28" s="127">
        <v>0.24</v>
      </c>
      <c r="DQ28" s="512">
        <f t="shared" si="81"/>
        <v>-6.500000000000148E-3</v>
      </c>
      <c r="DR28" s="506">
        <f t="shared" si="81"/>
        <v>0.05</v>
      </c>
      <c r="DS28" s="506">
        <f t="shared" si="78"/>
        <v>0.1</v>
      </c>
      <c r="DT28" s="506">
        <f t="shared" si="78"/>
        <v>0.15000000000000002</v>
      </c>
      <c r="DU28" s="506">
        <f t="shared" si="82"/>
        <v>0.22</v>
      </c>
      <c r="DV28" s="506">
        <f t="shared" si="82"/>
        <v>0.25</v>
      </c>
      <c r="DW28" s="506">
        <f t="shared" si="74"/>
        <v>0.25</v>
      </c>
      <c r="DX28" s="506">
        <f t="shared" si="74"/>
        <v>0.25</v>
      </c>
      <c r="DY28" s="506">
        <f t="shared" si="74"/>
        <v>0.25</v>
      </c>
      <c r="EA28" s="20">
        <f t="shared" si="32"/>
        <v>0</v>
      </c>
      <c r="EB28" s="20">
        <f t="shared" si="25"/>
        <v>0</v>
      </c>
      <c r="EC28" s="128">
        <f t="shared" si="25"/>
        <v>0</v>
      </c>
      <c r="ED28" s="128">
        <f t="shared" si="25"/>
        <v>0</v>
      </c>
      <c r="EE28" s="128">
        <f t="shared" si="25"/>
        <v>0</v>
      </c>
      <c r="EF28" s="128">
        <f t="shared" si="25"/>
        <v>0</v>
      </c>
      <c r="EG28" s="128">
        <f t="shared" si="25"/>
        <v>0</v>
      </c>
      <c r="EH28" s="128">
        <f t="shared" si="25"/>
        <v>0</v>
      </c>
      <c r="EI28" s="128">
        <f t="shared" si="25"/>
        <v>0</v>
      </c>
      <c r="EJ28" s="128">
        <f t="shared" si="25"/>
        <v>0</v>
      </c>
    </row>
    <row r="29" spans="2:140" ht="15.75">
      <c r="B29" s="19"/>
      <c r="C29" s="19"/>
      <c r="D29" s="19"/>
      <c r="E29" s="151"/>
      <c r="F29" s="170"/>
      <c r="G29" s="151"/>
      <c r="H29" s="19"/>
      <c r="J29" s="152"/>
      <c r="K29" s="152"/>
      <c r="L29" s="152"/>
      <c r="M29" s="152"/>
      <c r="N29" s="152"/>
      <c r="O29" s="152"/>
      <c r="P29" s="152"/>
      <c r="Q29" s="152"/>
      <c r="R29" s="152"/>
      <c r="S29" s="152"/>
      <c r="U29" s="152"/>
      <c r="V29" s="152"/>
      <c r="W29" s="152"/>
      <c r="X29" s="152"/>
      <c r="Y29" s="152"/>
      <c r="Z29" s="152"/>
      <c r="AA29" s="152"/>
      <c r="AB29" s="152"/>
      <c r="AC29" s="152"/>
      <c r="AD29" s="152"/>
      <c r="AF29" s="165"/>
      <c r="AG29" s="165"/>
      <c r="AH29" s="165"/>
      <c r="AI29" s="165"/>
      <c r="AJ29" s="165"/>
      <c r="AK29" s="165"/>
      <c r="AL29" s="165"/>
      <c r="AM29" s="165"/>
      <c r="AN29" s="165"/>
      <c r="AO29" s="165"/>
      <c r="AQ29" s="152"/>
      <c r="AR29" s="152"/>
      <c r="AS29" s="152"/>
      <c r="AT29" s="152"/>
      <c r="AU29" s="152"/>
      <c r="AV29" s="152"/>
      <c r="AW29" s="152"/>
      <c r="AX29" s="152"/>
      <c r="AY29" s="152"/>
      <c r="AZ29" s="152"/>
      <c r="BB29" s="152"/>
      <c r="BC29" s="152"/>
      <c r="BD29" s="152"/>
      <c r="BE29" s="152"/>
      <c r="BF29" s="152"/>
      <c r="BG29" s="152"/>
      <c r="BH29" s="152"/>
      <c r="BI29" s="152"/>
      <c r="BJ29" s="152"/>
      <c r="BK29" s="152"/>
      <c r="BM29" s="125">
        <f t="shared" si="30"/>
        <v>0</v>
      </c>
      <c r="BN29" s="125">
        <f t="shared" si="30"/>
        <v>0</v>
      </c>
      <c r="BO29" s="125">
        <f t="shared" si="30"/>
        <v>0</v>
      </c>
      <c r="BP29" s="125">
        <f t="shared" si="30"/>
        <v>0</v>
      </c>
      <c r="BQ29" s="125">
        <f t="shared" si="30"/>
        <v>0</v>
      </c>
      <c r="BR29" s="125">
        <f t="shared" si="30"/>
        <v>0</v>
      </c>
      <c r="BS29" s="125">
        <f t="shared" si="30"/>
        <v>0</v>
      </c>
      <c r="BT29" s="125">
        <f t="shared" si="30"/>
        <v>0</v>
      </c>
      <c r="BU29" s="125">
        <f t="shared" si="30"/>
        <v>0</v>
      </c>
      <c r="BV29" s="125">
        <f t="shared" si="30"/>
        <v>0</v>
      </c>
      <c r="BX29" s="160"/>
      <c r="BY29" s="159"/>
      <c r="BZ29" s="159"/>
      <c r="CA29" s="159"/>
      <c r="CB29" s="159"/>
      <c r="CC29" s="159"/>
      <c r="CD29" s="159"/>
      <c r="CE29" s="159"/>
      <c r="CF29" s="159"/>
      <c r="CG29" s="159"/>
      <c r="CI29" s="128">
        <f t="shared" si="72"/>
        <v>0</v>
      </c>
      <c r="CJ29" s="128">
        <f t="shared" si="72"/>
        <v>0</v>
      </c>
      <c r="CK29" s="128">
        <f t="shared" si="72"/>
        <v>0</v>
      </c>
      <c r="CL29" s="128">
        <f t="shared" si="72"/>
        <v>0</v>
      </c>
      <c r="CM29" s="128">
        <f t="shared" si="72"/>
        <v>0</v>
      </c>
      <c r="CN29" s="128">
        <f t="shared" si="72"/>
        <v>0</v>
      </c>
      <c r="CO29" s="128">
        <f t="shared" si="72"/>
        <v>0</v>
      </c>
      <c r="CP29" s="128">
        <f t="shared" si="72"/>
        <v>0</v>
      </c>
      <c r="CQ29" s="128">
        <f t="shared" si="72"/>
        <v>0</v>
      </c>
      <c r="CR29" s="128">
        <f t="shared" si="72"/>
        <v>0</v>
      </c>
      <c r="CT29" s="125">
        <f t="shared" si="73"/>
        <v>0</v>
      </c>
      <c r="CU29" s="125">
        <f t="shared" si="73"/>
        <v>0</v>
      </c>
      <c r="CV29" s="125">
        <f t="shared" si="73"/>
        <v>0</v>
      </c>
      <c r="CW29" s="125">
        <f t="shared" si="73"/>
        <v>0</v>
      </c>
      <c r="CX29" s="125">
        <f t="shared" si="73"/>
        <v>0</v>
      </c>
      <c r="CY29" s="125">
        <f t="shared" si="73"/>
        <v>0</v>
      </c>
      <c r="CZ29" s="125">
        <f t="shared" si="73"/>
        <v>0</v>
      </c>
      <c r="DA29" s="125">
        <f t="shared" si="73"/>
        <v>0</v>
      </c>
      <c r="DB29" s="125">
        <f t="shared" si="73"/>
        <v>0</v>
      </c>
      <c r="DC29" s="125">
        <f t="shared" si="73"/>
        <v>0</v>
      </c>
      <c r="DE29" s="127">
        <f t="shared" si="23"/>
        <v>0</v>
      </c>
      <c r="DF29" s="127">
        <f t="shared" si="23"/>
        <v>0</v>
      </c>
      <c r="DG29" s="127">
        <f t="shared" si="23"/>
        <v>0</v>
      </c>
      <c r="DH29" s="127">
        <f t="shared" si="23"/>
        <v>0</v>
      </c>
      <c r="DI29" s="127">
        <f t="shared" si="23"/>
        <v>0</v>
      </c>
      <c r="DJ29" s="127">
        <f t="shared" si="23"/>
        <v>0</v>
      </c>
      <c r="DK29" s="127">
        <f t="shared" si="23"/>
        <v>0</v>
      </c>
      <c r="DL29" s="127">
        <f t="shared" si="23"/>
        <v>0</v>
      </c>
      <c r="DM29" s="127">
        <f t="shared" si="23"/>
        <v>0</v>
      </c>
      <c r="DN29" s="127">
        <f t="shared" si="23"/>
        <v>0</v>
      </c>
      <c r="DP29" s="127">
        <v>0.24</v>
      </c>
      <c r="DQ29" s="512">
        <f t="shared" si="81"/>
        <v>-6.500000000000148E-3</v>
      </c>
      <c r="DR29" s="506">
        <f t="shared" si="81"/>
        <v>0.05</v>
      </c>
      <c r="DS29" s="506">
        <f t="shared" si="78"/>
        <v>0.1</v>
      </c>
      <c r="DT29" s="506">
        <f t="shared" si="78"/>
        <v>0.15000000000000002</v>
      </c>
      <c r="DU29" s="506">
        <f t="shared" si="82"/>
        <v>0.22</v>
      </c>
      <c r="DV29" s="506">
        <f t="shared" si="82"/>
        <v>0.25</v>
      </c>
      <c r="DW29" s="506">
        <f t="shared" si="74"/>
        <v>0.25</v>
      </c>
      <c r="DX29" s="506">
        <f t="shared" si="74"/>
        <v>0.25</v>
      </c>
      <c r="DY29" s="506">
        <f t="shared" si="74"/>
        <v>0.25</v>
      </c>
      <c r="EA29" s="20">
        <f t="shared" si="32"/>
        <v>0</v>
      </c>
      <c r="EB29" s="20">
        <f t="shared" si="25"/>
        <v>0</v>
      </c>
      <c r="EC29" s="128">
        <f t="shared" si="25"/>
        <v>0</v>
      </c>
      <c r="ED29" s="128">
        <f t="shared" si="25"/>
        <v>0</v>
      </c>
      <c r="EE29" s="128">
        <f t="shared" si="25"/>
        <v>0</v>
      </c>
      <c r="EF29" s="128">
        <f t="shared" si="25"/>
        <v>0</v>
      </c>
      <c r="EG29" s="128">
        <f t="shared" si="25"/>
        <v>0</v>
      </c>
      <c r="EH29" s="128">
        <f t="shared" si="25"/>
        <v>0</v>
      </c>
      <c r="EI29" s="128">
        <f t="shared" si="25"/>
        <v>0</v>
      </c>
      <c r="EJ29" s="128">
        <f t="shared" si="25"/>
        <v>0</v>
      </c>
    </row>
    <row r="30" spans="2:140" ht="15.75">
      <c r="B30" s="19"/>
      <c r="C30" s="19"/>
      <c r="D30" s="19"/>
      <c r="E30" s="151"/>
      <c r="F30" s="170"/>
      <c r="G30" s="151"/>
      <c r="H30" s="19"/>
      <c r="J30" s="152"/>
      <c r="K30" s="152"/>
      <c r="L30" s="152"/>
      <c r="M30" s="152"/>
      <c r="N30" s="152"/>
      <c r="O30" s="152"/>
      <c r="P30" s="152"/>
      <c r="Q30" s="152"/>
      <c r="R30" s="152"/>
      <c r="S30" s="152"/>
      <c r="U30" s="152"/>
      <c r="V30" s="152"/>
      <c r="W30" s="152"/>
      <c r="X30" s="152"/>
      <c r="Y30" s="152"/>
      <c r="Z30" s="152"/>
      <c r="AA30" s="152"/>
      <c r="AB30" s="152"/>
      <c r="AC30" s="152"/>
      <c r="AD30" s="152"/>
      <c r="AF30" s="165"/>
      <c r="AG30" s="165"/>
      <c r="AH30" s="165"/>
      <c r="AI30" s="165"/>
      <c r="AJ30" s="165"/>
      <c r="AK30" s="165"/>
      <c r="AL30" s="165"/>
      <c r="AM30" s="165"/>
      <c r="AN30" s="165"/>
      <c r="AO30" s="165"/>
      <c r="AQ30" s="152"/>
      <c r="AR30" s="152"/>
      <c r="AS30" s="152"/>
      <c r="AT30" s="152"/>
      <c r="AU30" s="152"/>
      <c r="AV30" s="152"/>
      <c r="AW30" s="152"/>
      <c r="AX30" s="152"/>
      <c r="AY30" s="152"/>
      <c r="AZ30" s="152"/>
      <c r="BB30" s="152"/>
      <c r="BC30" s="152"/>
      <c r="BD30" s="152"/>
      <c r="BE30" s="152"/>
      <c r="BF30" s="152"/>
      <c r="BG30" s="152"/>
      <c r="BH30" s="152"/>
      <c r="BI30" s="152"/>
      <c r="BJ30" s="152"/>
      <c r="BK30" s="152"/>
      <c r="BM30" s="125">
        <f t="shared" si="30"/>
        <v>0</v>
      </c>
      <c r="BN30" s="125">
        <f t="shared" si="30"/>
        <v>0</v>
      </c>
      <c r="BO30" s="125">
        <f t="shared" si="30"/>
        <v>0</v>
      </c>
      <c r="BP30" s="125">
        <f t="shared" si="30"/>
        <v>0</v>
      </c>
      <c r="BQ30" s="125">
        <f t="shared" si="30"/>
        <v>0</v>
      </c>
      <c r="BR30" s="125">
        <f t="shared" si="30"/>
        <v>0</v>
      </c>
      <c r="BS30" s="125">
        <f t="shared" si="30"/>
        <v>0</v>
      </c>
      <c r="BT30" s="125">
        <f t="shared" si="30"/>
        <v>0</v>
      </c>
      <c r="BU30" s="125">
        <f t="shared" si="30"/>
        <v>0</v>
      </c>
      <c r="BV30" s="125">
        <f t="shared" si="30"/>
        <v>0</v>
      </c>
      <c r="BX30" s="160"/>
      <c r="BY30" s="159"/>
      <c r="BZ30" s="159"/>
      <c r="CA30" s="159"/>
      <c r="CB30" s="159"/>
      <c r="CC30" s="159"/>
      <c r="CD30" s="159"/>
      <c r="CE30" s="159"/>
      <c r="CF30" s="159"/>
      <c r="CG30" s="159"/>
      <c r="CI30" s="128">
        <f t="shared" si="72"/>
        <v>0</v>
      </c>
      <c r="CJ30" s="128">
        <f t="shared" si="72"/>
        <v>0</v>
      </c>
      <c r="CK30" s="128">
        <f t="shared" si="72"/>
        <v>0</v>
      </c>
      <c r="CL30" s="128">
        <f t="shared" si="72"/>
        <v>0</v>
      </c>
      <c r="CM30" s="128">
        <f t="shared" si="72"/>
        <v>0</v>
      </c>
      <c r="CN30" s="128">
        <f t="shared" si="72"/>
        <v>0</v>
      </c>
      <c r="CO30" s="128">
        <f t="shared" si="72"/>
        <v>0</v>
      </c>
      <c r="CP30" s="128">
        <f t="shared" si="72"/>
        <v>0</v>
      </c>
      <c r="CQ30" s="128">
        <f t="shared" si="72"/>
        <v>0</v>
      </c>
      <c r="CR30" s="128">
        <f t="shared" si="72"/>
        <v>0</v>
      </c>
      <c r="CT30" s="125">
        <f t="shared" si="73"/>
        <v>0</v>
      </c>
      <c r="CU30" s="125">
        <f t="shared" si="73"/>
        <v>0</v>
      </c>
      <c r="CV30" s="125">
        <f t="shared" si="73"/>
        <v>0</v>
      </c>
      <c r="CW30" s="125">
        <f t="shared" si="73"/>
        <v>0</v>
      </c>
      <c r="CX30" s="125">
        <f t="shared" si="73"/>
        <v>0</v>
      </c>
      <c r="CY30" s="125">
        <f t="shared" si="73"/>
        <v>0</v>
      </c>
      <c r="CZ30" s="125">
        <f t="shared" si="73"/>
        <v>0</v>
      </c>
      <c r="DA30" s="125">
        <f t="shared" si="73"/>
        <v>0</v>
      </c>
      <c r="DB30" s="125">
        <f t="shared" si="73"/>
        <v>0</v>
      </c>
      <c r="DC30" s="125">
        <f t="shared" si="73"/>
        <v>0</v>
      </c>
      <c r="DE30" s="127">
        <f t="shared" si="23"/>
        <v>0</v>
      </c>
      <c r="DF30" s="127">
        <f t="shared" si="23"/>
        <v>0</v>
      </c>
      <c r="DG30" s="127">
        <f t="shared" si="23"/>
        <v>0</v>
      </c>
      <c r="DH30" s="127">
        <f t="shared" si="23"/>
        <v>0</v>
      </c>
      <c r="DI30" s="127">
        <f t="shared" si="23"/>
        <v>0</v>
      </c>
      <c r="DJ30" s="127">
        <f t="shared" si="23"/>
        <v>0</v>
      </c>
      <c r="DK30" s="127">
        <f t="shared" si="23"/>
        <v>0</v>
      </c>
      <c r="DL30" s="127">
        <f t="shared" si="23"/>
        <v>0</v>
      </c>
      <c r="DM30" s="127">
        <f t="shared" si="23"/>
        <v>0</v>
      </c>
      <c r="DN30" s="127">
        <f t="shared" si="23"/>
        <v>0</v>
      </c>
      <c r="DP30" s="127">
        <v>0.24</v>
      </c>
      <c r="DQ30" s="512">
        <f t="shared" si="81"/>
        <v>-6.500000000000148E-3</v>
      </c>
      <c r="DR30" s="506">
        <f t="shared" si="81"/>
        <v>0.05</v>
      </c>
      <c r="DS30" s="506">
        <f t="shared" si="78"/>
        <v>0.1</v>
      </c>
      <c r="DT30" s="506">
        <f t="shared" si="78"/>
        <v>0.15000000000000002</v>
      </c>
      <c r="DU30" s="506">
        <f t="shared" si="82"/>
        <v>0.22</v>
      </c>
      <c r="DV30" s="506">
        <f t="shared" si="82"/>
        <v>0.25</v>
      </c>
      <c r="DW30" s="506">
        <f t="shared" si="74"/>
        <v>0.25</v>
      </c>
      <c r="DX30" s="506">
        <f t="shared" si="74"/>
        <v>0.25</v>
      </c>
      <c r="DY30" s="506">
        <f t="shared" si="74"/>
        <v>0.25</v>
      </c>
      <c r="EA30" s="20">
        <f t="shared" si="32"/>
        <v>0</v>
      </c>
      <c r="EB30" s="20">
        <f t="shared" si="25"/>
        <v>0</v>
      </c>
      <c r="EC30" s="128">
        <f t="shared" si="25"/>
        <v>0</v>
      </c>
      <c r="ED30" s="128">
        <f t="shared" si="25"/>
        <v>0</v>
      </c>
      <c r="EE30" s="128">
        <f t="shared" si="25"/>
        <v>0</v>
      </c>
      <c r="EF30" s="128">
        <f t="shared" si="25"/>
        <v>0</v>
      </c>
      <c r="EG30" s="128">
        <f t="shared" si="25"/>
        <v>0</v>
      </c>
      <c r="EH30" s="128">
        <f t="shared" si="25"/>
        <v>0</v>
      </c>
      <c r="EI30" s="128">
        <f t="shared" si="25"/>
        <v>0</v>
      </c>
      <c r="EJ30" s="128">
        <f t="shared" si="25"/>
        <v>0</v>
      </c>
    </row>
    <row r="31" spans="2:140" ht="15.75">
      <c r="B31" s="19"/>
      <c r="C31" s="19"/>
      <c r="D31" s="19"/>
      <c r="E31" s="151"/>
      <c r="F31" s="170"/>
      <c r="G31" s="151"/>
      <c r="H31" s="19"/>
      <c r="J31" s="152"/>
      <c r="K31" s="152"/>
      <c r="L31" s="152"/>
      <c r="M31" s="152"/>
      <c r="N31" s="152"/>
      <c r="O31" s="152"/>
      <c r="P31" s="152"/>
      <c r="Q31" s="152"/>
      <c r="R31" s="152"/>
      <c r="S31" s="152"/>
      <c r="U31" s="152"/>
      <c r="V31" s="152"/>
      <c r="W31" s="152"/>
      <c r="X31" s="152"/>
      <c r="Y31" s="152"/>
      <c r="Z31" s="152"/>
      <c r="AA31" s="152"/>
      <c r="AB31" s="152"/>
      <c r="AC31" s="152"/>
      <c r="AD31" s="152"/>
      <c r="AF31" s="165"/>
      <c r="AG31" s="165"/>
      <c r="AH31" s="165"/>
      <c r="AI31" s="165"/>
      <c r="AJ31" s="165"/>
      <c r="AK31" s="165"/>
      <c r="AL31" s="165"/>
      <c r="AM31" s="165"/>
      <c r="AN31" s="165"/>
      <c r="AO31" s="165"/>
      <c r="AQ31" s="152"/>
      <c r="AR31" s="152"/>
      <c r="AS31" s="152"/>
      <c r="AT31" s="152"/>
      <c r="AU31" s="152"/>
      <c r="AV31" s="152"/>
      <c r="AW31" s="152"/>
      <c r="AX31" s="152"/>
      <c r="AY31" s="152"/>
      <c r="AZ31" s="152"/>
      <c r="BB31" s="152"/>
      <c r="BC31" s="152"/>
      <c r="BD31" s="152"/>
      <c r="BE31" s="152"/>
      <c r="BF31" s="152"/>
      <c r="BG31" s="152"/>
      <c r="BH31" s="152"/>
      <c r="BI31" s="152"/>
      <c r="BJ31" s="152"/>
      <c r="BK31" s="152"/>
      <c r="BM31" s="125">
        <f t="shared" si="30"/>
        <v>0</v>
      </c>
      <c r="BN31" s="125">
        <f t="shared" si="30"/>
        <v>0</v>
      </c>
      <c r="BO31" s="125">
        <f t="shared" si="30"/>
        <v>0</v>
      </c>
      <c r="BP31" s="125">
        <f t="shared" si="30"/>
        <v>0</v>
      </c>
      <c r="BQ31" s="125">
        <f t="shared" si="30"/>
        <v>0</v>
      </c>
      <c r="BR31" s="125">
        <f t="shared" si="30"/>
        <v>0</v>
      </c>
      <c r="BS31" s="125">
        <f t="shared" si="30"/>
        <v>0</v>
      </c>
      <c r="BT31" s="125">
        <f t="shared" si="30"/>
        <v>0</v>
      </c>
      <c r="BU31" s="125">
        <f t="shared" si="30"/>
        <v>0</v>
      </c>
      <c r="BV31" s="125">
        <f t="shared" si="30"/>
        <v>0</v>
      </c>
      <c r="BX31" s="160"/>
      <c r="BY31" s="159"/>
      <c r="BZ31" s="159"/>
      <c r="CA31" s="159"/>
      <c r="CB31" s="159"/>
      <c r="CC31" s="159"/>
      <c r="CD31" s="159"/>
      <c r="CE31" s="159"/>
      <c r="CF31" s="159"/>
      <c r="CG31" s="159"/>
      <c r="CI31" s="128">
        <f t="shared" si="72"/>
        <v>0</v>
      </c>
      <c r="CJ31" s="128">
        <f t="shared" si="72"/>
        <v>0</v>
      </c>
      <c r="CK31" s="128">
        <f t="shared" si="72"/>
        <v>0</v>
      </c>
      <c r="CL31" s="128">
        <f t="shared" si="72"/>
        <v>0</v>
      </c>
      <c r="CM31" s="128">
        <f t="shared" si="72"/>
        <v>0</v>
      </c>
      <c r="CN31" s="128">
        <f t="shared" si="72"/>
        <v>0</v>
      </c>
      <c r="CO31" s="128">
        <f t="shared" si="72"/>
        <v>0</v>
      </c>
      <c r="CP31" s="128">
        <f t="shared" si="72"/>
        <v>0</v>
      </c>
      <c r="CQ31" s="128">
        <f t="shared" si="72"/>
        <v>0</v>
      </c>
      <c r="CR31" s="128">
        <f t="shared" si="72"/>
        <v>0</v>
      </c>
      <c r="CT31" s="125">
        <f t="shared" si="73"/>
        <v>0</v>
      </c>
      <c r="CU31" s="125">
        <f t="shared" si="73"/>
        <v>0</v>
      </c>
      <c r="CV31" s="125">
        <f t="shared" si="73"/>
        <v>0</v>
      </c>
      <c r="CW31" s="125">
        <f t="shared" si="73"/>
        <v>0</v>
      </c>
      <c r="CX31" s="125">
        <f t="shared" si="73"/>
        <v>0</v>
      </c>
      <c r="CY31" s="125">
        <f t="shared" si="73"/>
        <v>0</v>
      </c>
      <c r="CZ31" s="125">
        <f t="shared" si="73"/>
        <v>0</v>
      </c>
      <c r="DA31" s="125">
        <f t="shared" si="73"/>
        <v>0</v>
      </c>
      <c r="DB31" s="125">
        <f t="shared" si="73"/>
        <v>0</v>
      </c>
      <c r="DC31" s="125">
        <f t="shared" si="73"/>
        <v>0</v>
      </c>
      <c r="DE31" s="127">
        <f t="shared" si="23"/>
        <v>0</v>
      </c>
      <c r="DF31" s="127">
        <f t="shared" si="23"/>
        <v>0</v>
      </c>
      <c r="DG31" s="127">
        <f t="shared" si="23"/>
        <v>0</v>
      </c>
      <c r="DH31" s="127">
        <f t="shared" si="23"/>
        <v>0</v>
      </c>
      <c r="DI31" s="127">
        <f t="shared" si="23"/>
        <v>0</v>
      </c>
      <c r="DJ31" s="127">
        <f t="shared" si="23"/>
        <v>0</v>
      </c>
      <c r="DK31" s="127">
        <f t="shared" si="23"/>
        <v>0</v>
      </c>
      <c r="DL31" s="127">
        <f t="shared" si="23"/>
        <v>0</v>
      </c>
      <c r="DM31" s="127">
        <f t="shared" si="23"/>
        <v>0</v>
      </c>
      <c r="DN31" s="127">
        <f t="shared" si="23"/>
        <v>0</v>
      </c>
      <c r="DP31" s="127">
        <v>0.24</v>
      </c>
      <c r="DQ31" s="512">
        <f t="shared" si="81"/>
        <v>-6.500000000000148E-3</v>
      </c>
      <c r="DR31" s="506">
        <f t="shared" si="81"/>
        <v>0.05</v>
      </c>
      <c r="DS31" s="506">
        <f t="shared" si="78"/>
        <v>0.1</v>
      </c>
      <c r="DT31" s="506">
        <f t="shared" si="78"/>
        <v>0.15000000000000002</v>
      </c>
      <c r="DU31" s="506">
        <f t="shared" si="82"/>
        <v>0.22</v>
      </c>
      <c r="DV31" s="506">
        <f t="shared" si="82"/>
        <v>0.25</v>
      </c>
      <c r="DW31" s="506">
        <f t="shared" si="74"/>
        <v>0.25</v>
      </c>
      <c r="DX31" s="506">
        <f t="shared" si="74"/>
        <v>0.25</v>
      </c>
      <c r="DY31" s="506">
        <f t="shared" si="74"/>
        <v>0.25</v>
      </c>
      <c r="EA31" s="20">
        <f t="shared" si="32"/>
        <v>0</v>
      </c>
      <c r="EB31" s="20">
        <f t="shared" si="25"/>
        <v>0</v>
      </c>
      <c r="EC31" s="128">
        <f t="shared" si="25"/>
        <v>0</v>
      </c>
      <c r="ED31" s="128">
        <f t="shared" si="25"/>
        <v>0</v>
      </c>
      <c r="EE31" s="128">
        <f t="shared" si="25"/>
        <v>0</v>
      </c>
      <c r="EF31" s="128">
        <f t="shared" si="25"/>
        <v>0</v>
      </c>
      <c r="EG31" s="128">
        <f t="shared" si="25"/>
        <v>0</v>
      </c>
      <c r="EH31" s="128">
        <f t="shared" si="25"/>
        <v>0</v>
      </c>
      <c r="EI31" s="128">
        <f t="shared" si="25"/>
        <v>0</v>
      </c>
      <c r="EJ31" s="128">
        <f t="shared" si="25"/>
        <v>0</v>
      </c>
    </row>
    <row r="32" spans="2:140" ht="15.75">
      <c r="B32" s="19"/>
      <c r="C32" s="19"/>
      <c r="D32" s="19"/>
      <c r="E32" s="151"/>
      <c r="F32" s="170"/>
      <c r="G32" s="151"/>
      <c r="H32" s="19"/>
      <c r="J32" s="152"/>
      <c r="K32" s="152"/>
      <c r="L32" s="152"/>
      <c r="M32" s="152"/>
      <c r="N32" s="152"/>
      <c r="O32" s="152"/>
      <c r="P32" s="152"/>
      <c r="Q32" s="152"/>
      <c r="R32" s="152"/>
      <c r="S32" s="152"/>
      <c r="U32" s="152"/>
      <c r="V32" s="152"/>
      <c r="W32" s="152"/>
      <c r="X32" s="152"/>
      <c r="Y32" s="152"/>
      <c r="Z32" s="152"/>
      <c r="AA32" s="152"/>
      <c r="AB32" s="152"/>
      <c r="AC32" s="152"/>
      <c r="AD32" s="152"/>
      <c r="AF32" s="165"/>
      <c r="AG32" s="165"/>
      <c r="AH32" s="165"/>
      <c r="AI32" s="165"/>
      <c r="AJ32" s="165"/>
      <c r="AK32" s="165"/>
      <c r="AL32" s="165"/>
      <c r="AM32" s="165"/>
      <c r="AN32" s="165"/>
      <c r="AO32" s="165"/>
      <c r="AQ32" s="152"/>
      <c r="AR32" s="152"/>
      <c r="AS32" s="152"/>
      <c r="AT32" s="152"/>
      <c r="AU32" s="152"/>
      <c r="AV32" s="152"/>
      <c r="AW32" s="152"/>
      <c r="AX32" s="152"/>
      <c r="AY32" s="152"/>
      <c r="AZ32" s="152"/>
      <c r="BB32" s="152"/>
      <c r="BC32" s="152"/>
      <c r="BD32" s="152"/>
      <c r="BE32" s="152"/>
      <c r="BF32" s="152"/>
      <c r="BG32" s="152"/>
      <c r="BH32" s="152"/>
      <c r="BI32" s="152"/>
      <c r="BJ32" s="152"/>
      <c r="BK32" s="152"/>
      <c r="BM32" s="125">
        <f t="shared" si="30"/>
        <v>0</v>
      </c>
      <c r="BN32" s="125">
        <f t="shared" si="30"/>
        <v>0</v>
      </c>
      <c r="BO32" s="125">
        <f t="shared" si="30"/>
        <v>0</v>
      </c>
      <c r="BP32" s="125">
        <f t="shared" si="30"/>
        <v>0</v>
      </c>
      <c r="BQ32" s="125">
        <f t="shared" si="30"/>
        <v>0</v>
      </c>
      <c r="BR32" s="125">
        <f t="shared" si="30"/>
        <v>0</v>
      </c>
      <c r="BS32" s="125">
        <f t="shared" si="30"/>
        <v>0</v>
      </c>
      <c r="BT32" s="125">
        <f t="shared" si="30"/>
        <v>0</v>
      </c>
      <c r="BU32" s="125">
        <f t="shared" si="30"/>
        <v>0</v>
      </c>
      <c r="BV32" s="125">
        <f t="shared" si="30"/>
        <v>0</v>
      </c>
      <c r="BX32" s="160"/>
      <c r="BY32" s="159"/>
      <c r="BZ32" s="159"/>
      <c r="CA32" s="159"/>
      <c r="CB32" s="159"/>
      <c r="CC32" s="159"/>
      <c r="CD32" s="159"/>
      <c r="CE32" s="159"/>
      <c r="CF32" s="159"/>
      <c r="CG32" s="159"/>
      <c r="CI32" s="128">
        <f t="shared" si="72"/>
        <v>0</v>
      </c>
      <c r="CJ32" s="128">
        <f t="shared" si="72"/>
        <v>0</v>
      </c>
      <c r="CK32" s="128">
        <f t="shared" si="72"/>
        <v>0</v>
      </c>
      <c r="CL32" s="128">
        <f t="shared" si="72"/>
        <v>0</v>
      </c>
      <c r="CM32" s="128">
        <f t="shared" si="72"/>
        <v>0</v>
      </c>
      <c r="CN32" s="128">
        <f t="shared" si="72"/>
        <v>0</v>
      </c>
      <c r="CO32" s="128">
        <f t="shared" si="72"/>
        <v>0</v>
      </c>
      <c r="CP32" s="128">
        <f t="shared" si="72"/>
        <v>0</v>
      </c>
      <c r="CQ32" s="128">
        <f t="shared" si="72"/>
        <v>0</v>
      </c>
      <c r="CR32" s="128">
        <f t="shared" si="72"/>
        <v>0</v>
      </c>
      <c r="CT32" s="125">
        <f t="shared" si="73"/>
        <v>0</v>
      </c>
      <c r="CU32" s="125">
        <f t="shared" si="73"/>
        <v>0</v>
      </c>
      <c r="CV32" s="125">
        <f t="shared" si="73"/>
        <v>0</v>
      </c>
      <c r="CW32" s="125">
        <f t="shared" si="73"/>
        <v>0</v>
      </c>
      <c r="CX32" s="125">
        <f t="shared" si="73"/>
        <v>0</v>
      </c>
      <c r="CY32" s="125">
        <f t="shared" si="73"/>
        <v>0</v>
      </c>
      <c r="CZ32" s="125">
        <f t="shared" si="73"/>
        <v>0</v>
      </c>
      <c r="DA32" s="125">
        <f t="shared" si="73"/>
        <v>0</v>
      </c>
      <c r="DB32" s="125">
        <f t="shared" si="73"/>
        <v>0</v>
      </c>
      <c r="DC32" s="125">
        <f t="shared" si="73"/>
        <v>0</v>
      </c>
      <c r="DE32" s="127">
        <f t="shared" si="23"/>
        <v>0</v>
      </c>
      <c r="DF32" s="127">
        <f t="shared" si="23"/>
        <v>0</v>
      </c>
      <c r="DG32" s="127">
        <f t="shared" si="23"/>
        <v>0</v>
      </c>
      <c r="DH32" s="127">
        <f t="shared" si="23"/>
        <v>0</v>
      </c>
      <c r="DI32" s="127">
        <f t="shared" si="23"/>
        <v>0</v>
      </c>
      <c r="DJ32" s="127">
        <f t="shared" si="23"/>
        <v>0</v>
      </c>
      <c r="DK32" s="127">
        <f t="shared" si="23"/>
        <v>0</v>
      </c>
      <c r="DL32" s="127">
        <f t="shared" si="23"/>
        <v>0</v>
      </c>
      <c r="DM32" s="127">
        <f t="shared" si="23"/>
        <v>0</v>
      </c>
      <c r="DN32" s="127">
        <f t="shared" si="23"/>
        <v>0</v>
      </c>
      <c r="DP32" s="127">
        <v>0.24</v>
      </c>
      <c r="DQ32" s="512">
        <f t="shared" si="81"/>
        <v>-6.500000000000148E-3</v>
      </c>
      <c r="DR32" s="506">
        <f t="shared" si="81"/>
        <v>0.05</v>
      </c>
      <c r="DS32" s="506">
        <f t="shared" si="78"/>
        <v>0.1</v>
      </c>
      <c r="DT32" s="506">
        <f t="shared" si="78"/>
        <v>0.15000000000000002</v>
      </c>
      <c r="DU32" s="506">
        <f t="shared" si="82"/>
        <v>0.22</v>
      </c>
      <c r="DV32" s="506">
        <f t="shared" si="82"/>
        <v>0.25</v>
      </c>
      <c r="DW32" s="506">
        <f t="shared" si="74"/>
        <v>0.25</v>
      </c>
      <c r="DX32" s="506">
        <f t="shared" si="74"/>
        <v>0.25</v>
      </c>
      <c r="DY32" s="506">
        <f t="shared" si="74"/>
        <v>0.25</v>
      </c>
      <c r="EA32" s="20">
        <f t="shared" si="32"/>
        <v>0</v>
      </c>
      <c r="EB32" s="20">
        <f t="shared" si="25"/>
        <v>0</v>
      </c>
      <c r="EC32" s="128">
        <f t="shared" si="25"/>
        <v>0</v>
      </c>
      <c r="ED32" s="128">
        <f t="shared" si="25"/>
        <v>0</v>
      </c>
      <c r="EE32" s="128">
        <f t="shared" si="25"/>
        <v>0</v>
      </c>
      <c r="EF32" s="128">
        <f t="shared" si="25"/>
        <v>0</v>
      </c>
      <c r="EG32" s="128">
        <f t="shared" si="25"/>
        <v>0</v>
      </c>
      <c r="EH32" s="128">
        <f t="shared" si="25"/>
        <v>0</v>
      </c>
      <c r="EI32" s="128">
        <f t="shared" si="25"/>
        <v>0</v>
      </c>
      <c r="EJ32" s="128">
        <f t="shared" si="25"/>
        <v>0</v>
      </c>
    </row>
    <row r="33" spans="2:140" ht="15.75">
      <c r="B33" s="19"/>
      <c r="C33" s="19"/>
      <c r="D33" s="19"/>
      <c r="E33" s="151"/>
      <c r="F33" s="170"/>
      <c r="G33" s="151"/>
      <c r="H33" s="19"/>
      <c r="J33" s="152"/>
      <c r="K33" s="152"/>
      <c r="L33" s="152"/>
      <c r="M33" s="152"/>
      <c r="N33" s="152"/>
      <c r="O33" s="152"/>
      <c r="P33" s="152"/>
      <c r="Q33" s="152"/>
      <c r="R33" s="152"/>
      <c r="S33" s="152"/>
      <c r="U33" s="152"/>
      <c r="V33" s="152"/>
      <c r="W33" s="152"/>
      <c r="X33" s="152"/>
      <c r="Y33" s="152"/>
      <c r="Z33" s="152"/>
      <c r="AA33" s="152"/>
      <c r="AB33" s="152"/>
      <c r="AC33" s="152"/>
      <c r="AD33" s="152"/>
      <c r="AF33" s="165"/>
      <c r="AG33" s="165"/>
      <c r="AH33" s="165"/>
      <c r="AI33" s="165"/>
      <c r="AJ33" s="165"/>
      <c r="AK33" s="165"/>
      <c r="AL33" s="165"/>
      <c r="AM33" s="165"/>
      <c r="AN33" s="165"/>
      <c r="AO33" s="165"/>
      <c r="AQ33" s="152"/>
      <c r="AR33" s="152"/>
      <c r="AS33" s="152"/>
      <c r="AT33" s="152"/>
      <c r="AU33" s="152"/>
      <c r="AV33" s="152"/>
      <c r="AW33" s="152"/>
      <c r="AX33" s="152"/>
      <c r="AY33" s="152"/>
      <c r="AZ33" s="152"/>
      <c r="BB33" s="152"/>
      <c r="BC33" s="152"/>
      <c r="BD33" s="152"/>
      <c r="BE33" s="152"/>
      <c r="BF33" s="152"/>
      <c r="BG33" s="152"/>
      <c r="BH33" s="152"/>
      <c r="BI33" s="152"/>
      <c r="BJ33" s="152"/>
      <c r="BK33" s="152"/>
      <c r="BM33" s="125">
        <f t="shared" si="30"/>
        <v>0</v>
      </c>
      <c r="BN33" s="125">
        <f t="shared" si="30"/>
        <v>0</v>
      </c>
      <c r="BO33" s="125">
        <f t="shared" si="30"/>
        <v>0</v>
      </c>
      <c r="BP33" s="125">
        <f t="shared" si="30"/>
        <v>0</v>
      </c>
      <c r="BQ33" s="125">
        <f t="shared" si="30"/>
        <v>0</v>
      </c>
      <c r="BR33" s="125">
        <f t="shared" si="30"/>
        <v>0</v>
      </c>
      <c r="BS33" s="125">
        <f t="shared" si="30"/>
        <v>0</v>
      </c>
      <c r="BT33" s="125">
        <f t="shared" si="30"/>
        <v>0</v>
      </c>
      <c r="BU33" s="125">
        <f t="shared" si="30"/>
        <v>0</v>
      </c>
      <c r="BV33" s="125">
        <f t="shared" si="30"/>
        <v>0</v>
      </c>
      <c r="BX33" s="160"/>
      <c r="BY33" s="159"/>
      <c r="BZ33" s="159"/>
      <c r="CA33" s="159"/>
      <c r="CB33" s="159"/>
      <c r="CC33" s="159"/>
      <c r="CD33" s="159"/>
      <c r="CE33" s="159"/>
      <c r="CF33" s="159"/>
      <c r="CG33" s="159"/>
      <c r="CI33" s="128">
        <f t="shared" si="72"/>
        <v>0</v>
      </c>
      <c r="CJ33" s="128">
        <f t="shared" si="72"/>
        <v>0</v>
      </c>
      <c r="CK33" s="128">
        <f t="shared" si="72"/>
        <v>0</v>
      </c>
      <c r="CL33" s="128">
        <f t="shared" si="72"/>
        <v>0</v>
      </c>
      <c r="CM33" s="128">
        <f t="shared" si="72"/>
        <v>0</v>
      </c>
      <c r="CN33" s="128">
        <f t="shared" si="72"/>
        <v>0</v>
      </c>
      <c r="CO33" s="128">
        <f t="shared" si="72"/>
        <v>0</v>
      </c>
      <c r="CP33" s="128">
        <f t="shared" si="72"/>
        <v>0</v>
      </c>
      <c r="CQ33" s="128">
        <f t="shared" si="72"/>
        <v>0</v>
      </c>
      <c r="CR33" s="128">
        <f t="shared" si="72"/>
        <v>0</v>
      </c>
      <c r="CT33" s="125">
        <f t="shared" si="73"/>
        <v>0</v>
      </c>
      <c r="CU33" s="125">
        <f t="shared" si="73"/>
        <v>0</v>
      </c>
      <c r="CV33" s="125">
        <f t="shared" si="73"/>
        <v>0</v>
      </c>
      <c r="CW33" s="125">
        <f t="shared" si="73"/>
        <v>0</v>
      </c>
      <c r="CX33" s="125">
        <f t="shared" si="73"/>
        <v>0</v>
      </c>
      <c r="CY33" s="125">
        <f t="shared" si="73"/>
        <v>0</v>
      </c>
      <c r="CZ33" s="125">
        <f t="shared" si="73"/>
        <v>0</v>
      </c>
      <c r="DA33" s="125">
        <f t="shared" si="73"/>
        <v>0</v>
      </c>
      <c r="DB33" s="125">
        <f t="shared" si="73"/>
        <v>0</v>
      </c>
      <c r="DC33" s="125">
        <f t="shared" si="73"/>
        <v>0</v>
      </c>
      <c r="DE33" s="127">
        <f t="shared" si="23"/>
        <v>0</v>
      </c>
      <c r="DF33" s="127">
        <f t="shared" si="23"/>
        <v>0</v>
      </c>
      <c r="DG33" s="127">
        <f t="shared" si="23"/>
        <v>0</v>
      </c>
      <c r="DH33" s="127">
        <f t="shared" si="23"/>
        <v>0</v>
      </c>
      <c r="DI33" s="127">
        <f t="shared" si="23"/>
        <v>0</v>
      </c>
      <c r="DJ33" s="127">
        <f t="shared" ref="DJ33:DN39" si="85">IFERROR(CY33/CY$48, 0)</f>
        <v>0</v>
      </c>
      <c r="DK33" s="127">
        <f t="shared" si="85"/>
        <v>0</v>
      </c>
      <c r="DL33" s="127">
        <f t="shared" si="85"/>
        <v>0</v>
      </c>
      <c r="DM33" s="127">
        <f t="shared" si="85"/>
        <v>0</v>
      </c>
      <c r="DN33" s="127">
        <f t="shared" si="85"/>
        <v>0</v>
      </c>
      <c r="DP33" s="127">
        <v>0.24</v>
      </c>
      <c r="DQ33" s="512">
        <f t="shared" si="81"/>
        <v>-6.500000000000148E-3</v>
      </c>
      <c r="DR33" s="506">
        <f t="shared" si="81"/>
        <v>0.05</v>
      </c>
      <c r="DS33" s="506">
        <f t="shared" si="78"/>
        <v>0.1</v>
      </c>
      <c r="DT33" s="506">
        <f t="shared" si="78"/>
        <v>0.15000000000000002</v>
      </c>
      <c r="DU33" s="506">
        <f t="shared" si="82"/>
        <v>0.22</v>
      </c>
      <c r="DV33" s="506">
        <f t="shared" si="82"/>
        <v>0.25</v>
      </c>
      <c r="DW33" s="506">
        <f t="shared" si="74"/>
        <v>0.25</v>
      </c>
      <c r="DX33" s="506">
        <f t="shared" si="74"/>
        <v>0.25</v>
      </c>
      <c r="DY33" s="506">
        <f t="shared" si="74"/>
        <v>0.25</v>
      </c>
      <c r="EA33" s="20">
        <f t="shared" si="32"/>
        <v>0</v>
      </c>
      <c r="EB33" s="20">
        <f t="shared" si="25"/>
        <v>0</v>
      </c>
      <c r="EC33" s="128">
        <f t="shared" si="25"/>
        <v>0</v>
      </c>
      <c r="ED33" s="128">
        <f t="shared" si="25"/>
        <v>0</v>
      </c>
      <c r="EE33" s="128">
        <f t="shared" si="25"/>
        <v>0</v>
      </c>
      <c r="EF33" s="128">
        <f t="shared" si="25"/>
        <v>0</v>
      </c>
      <c r="EG33" s="128">
        <f t="shared" si="25"/>
        <v>0</v>
      </c>
      <c r="EH33" s="128">
        <f t="shared" si="25"/>
        <v>0</v>
      </c>
      <c r="EI33" s="128">
        <f t="shared" si="25"/>
        <v>0</v>
      </c>
      <c r="EJ33" s="128">
        <f t="shared" si="25"/>
        <v>0</v>
      </c>
    </row>
    <row r="34" spans="2:140" ht="15.75">
      <c r="B34" s="19"/>
      <c r="C34" s="19"/>
      <c r="D34" s="19"/>
      <c r="E34" s="151"/>
      <c r="F34" s="170"/>
      <c r="G34" s="151"/>
      <c r="H34" s="19"/>
      <c r="J34" s="152"/>
      <c r="K34" s="152"/>
      <c r="L34" s="152"/>
      <c r="M34" s="152"/>
      <c r="N34" s="152"/>
      <c r="O34" s="152"/>
      <c r="P34" s="152"/>
      <c r="Q34" s="152"/>
      <c r="R34" s="152"/>
      <c r="S34" s="152"/>
      <c r="U34" s="152"/>
      <c r="V34" s="152"/>
      <c r="W34" s="152"/>
      <c r="X34" s="152"/>
      <c r="Y34" s="152"/>
      <c r="Z34" s="152"/>
      <c r="AA34" s="152"/>
      <c r="AB34" s="152"/>
      <c r="AC34" s="152"/>
      <c r="AD34" s="152"/>
      <c r="AF34" s="165"/>
      <c r="AG34" s="165"/>
      <c r="AH34" s="165"/>
      <c r="AI34" s="165"/>
      <c r="AJ34" s="165"/>
      <c r="AK34" s="165"/>
      <c r="AL34" s="165"/>
      <c r="AM34" s="165"/>
      <c r="AN34" s="165"/>
      <c r="AO34" s="165"/>
      <c r="AQ34" s="152"/>
      <c r="AR34" s="152"/>
      <c r="AS34" s="152"/>
      <c r="AT34" s="152"/>
      <c r="AU34" s="152"/>
      <c r="AV34" s="152"/>
      <c r="AW34" s="152"/>
      <c r="AX34" s="152"/>
      <c r="AY34" s="152"/>
      <c r="AZ34" s="152"/>
      <c r="BB34" s="152"/>
      <c r="BC34" s="152"/>
      <c r="BD34" s="152"/>
      <c r="BE34" s="152"/>
      <c r="BF34" s="152"/>
      <c r="BG34" s="152"/>
      <c r="BH34" s="152"/>
      <c r="BI34" s="152"/>
      <c r="BJ34" s="152"/>
      <c r="BK34" s="152"/>
      <c r="BM34" s="125">
        <f t="shared" si="30"/>
        <v>0</v>
      </c>
      <c r="BN34" s="125">
        <f t="shared" si="30"/>
        <v>0</v>
      </c>
      <c r="BO34" s="125">
        <f t="shared" si="30"/>
        <v>0</v>
      </c>
      <c r="BP34" s="125">
        <f t="shared" si="30"/>
        <v>0</v>
      </c>
      <c r="BQ34" s="125">
        <f t="shared" si="30"/>
        <v>0</v>
      </c>
      <c r="BR34" s="125">
        <f t="shared" si="30"/>
        <v>0</v>
      </c>
      <c r="BS34" s="125">
        <f t="shared" si="30"/>
        <v>0</v>
      </c>
      <c r="BT34" s="125">
        <f t="shared" si="30"/>
        <v>0</v>
      </c>
      <c r="BU34" s="125">
        <f t="shared" si="30"/>
        <v>0</v>
      </c>
      <c r="BV34" s="125">
        <f t="shared" si="30"/>
        <v>0</v>
      </c>
      <c r="BX34" s="160"/>
      <c r="BY34" s="159"/>
      <c r="BZ34" s="159"/>
      <c r="CA34" s="159"/>
      <c r="CB34" s="159"/>
      <c r="CC34" s="159"/>
      <c r="CD34" s="159"/>
      <c r="CE34" s="159"/>
      <c r="CF34" s="159"/>
      <c r="CG34" s="159"/>
      <c r="CI34" s="128">
        <f t="shared" si="72"/>
        <v>0</v>
      </c>
      <c r="CJ34" s="128">
        <f t="shared" si="72"/>
        <v>0</v>
      </c>
      <c r="CK34" s="128">
        <f t="shared" si="72"/>
        <v>0</v>
      </c>
      <c r="CL34" s="128">
        <f t="shared" si="72"/>
        <v>0</v>
      </c>
      <c r="CM34" s="128">
        <f t="shared" si="72"/>
        <v>0</v>
      </c>
      <c r="CN34" s="128">
        <f t="shared" si="72"/>
        <v>0</v>
      </c>
      <c r="CO34" s="128">
        <f t="shared" si="72"/>
        <v>0</v>
      </c>
      <c r="CP34" s="128">
        <f t="shared" si="72"/>
        <v>0</v>
      </c>
      <c r="CQ34" s="128">
        <f t="shared" si="72"/>
        <v>0</v>
      </c>
      <c r="CR34" s="128">
        <f t="shared" si="72"/>
        <v>0</v>
      </c>
      <c r="CT34" s="125">
        <f t="shared" si="73"/>
        <v>0</v>
      </c>
      <c r="CU34" s="125">
        <f t="shared" si="73"/>
        <v>0</v>
      </c>
      <c r="CV34" s="125">
        <f t="shared" si="73"/>
        <v>0</v>
      </c>
      <c r="CW34" s="125">
        <f t="shared" si="73"/>
        <v>0</v>
      </c>
      <c r="CX34" s="125">
        <f t="shared" si="73"/>
        <v>0</v>
      </c>
      <c r="CY34" s="125">
        <f t="shared" si="73"/>
        <v>0</v>
      </c>
      <c r="CZ34" s="125">
        <f t="shared" si="73"/>
        <v>0</v>
      </c>
      <c r="DA34" s="125">
        <f t="shared" si="73"/>
        <v>0</v>
      </c>
      <c r="DB34" s="125">
        <f t="shared" si="73"/>
        <v>0</v>
      </c>
      <c r="DC34" s="125">
        <f t="shared" si="73"/>
        <v>0</v>
      </c>
      <c r="DE34" s="127">
        <f t="shared" ref="DE34:DN47" si="86">IFERROR(CT34/CT$48, 0)</f>
        <v>0</v>
      </c>
      <c r="DF34" s="127">
        <f t="shared" si="86"/>
        <v>0</v>
      </c>
      <c r="DG34" s="127">
        <f t="shared" si="86"/>
        <v>0</v>
      </c>
      <c r="DH34" s="127">
        <f t="shared" si="86"/>
        <v>0</v>
      </c>
      <c r="DI34" s="127">
        <f t="shared" si="86"/>
        <v>0</v>
      </c>
      <c r="DJ34" s="127">
        <f t="shared" si="85"/>
        <v>0</v>
      </c>
      <c r="DK34" s="127">
        <f t="shared" si="85"/>
        <v>0</v>
      </c>
      <c r="DL34" s="127">
        <f t="shared" si="85"/>
        <v>0</v>
      </c>
      <c r="DM34" s="127">
        <f t="shared" si="85"/>
        <v>0</v>
      </c>
      <c r="DN34" s="127">
        <f t="shared" si="85"/>
        <v>0</v>
      </c>
      <c r="DP34" s="127">
        <v>0.24</v>
      </c>
      <c r="DQ34" s="512">
        <f t="shared" si="81"/>
        <v>-6.500000000000148E-3</v>
      </c>
      <c r="DR34" s="506">
        <f t="shared" si="81"/>
        <v>0.05</v>
      </c>
      <c r="DS34" s="506">
        <f t="shared" si="78"/>
        <v>0.1</v>
      </c>
      <c r="DT34" s="506">
        <f t="shared" si="78"/>
        <v>0.15000000000000002</v>
      </c>
      <c r="DU34" s="506">
        <f t="shared" si="82"/>
        <v>0.22</v>
      </c>
      <c r="DV34" s="506">
        <f t="shared" si="82"/>
        <v>0.25</v>
      </c>
      <c r="DW34" s="506">
        <f t="shared" si="74"/>
        <v>0.25</v>
      </c>
      <c r="DX34" s="506">
        <f t="shared" si="74"/>
        <v>0.25</v>
      </c>
      <c r="DY34" s="506">
        <f t="shared" si="74"/>
        <v>0.25</v>
      </c>
      <c r="EA34" s="20">
        <f t="shared" si="32"/>
        <v>0</v>
      </c>
      <c r="EB34" s="20">
        <f t="shared" si="25"/>
        <v>0</v>
      </c>
      <c r="EC34" s="128">
        <f t="shared" si="25"/>
        <v>0</v>
      </c>
      <c r="ED34" s="128">
        <f t="shared" si="25"/>
        <v>0</v>
      </c>
      <c r="EE34" s="128">
        <f t="shared" si="25"/>
        <v>0</v>
      </c>
      <c r="EF34" s="128">
        <f t="shared" si="25"/>
        <v>0</v>
      </c>
      <c r="EG34" s="128">
        <f t="shared" si="25"/>
        <v>0</v>
      </c>
      <c r="EH34" s="128">
        <f t="shared" si="25"/>
        <v>0</v>
      </c>
      <c r="EI34" s="128">
        <f t="shared" si="25"/>
        <v>0</v>
      </c>
      <c r="EJ34" s="128">
        <f t="shared" si="25"/>
        <v>0</v>
      </c>
    </row>
    <row r="35" spans="2:140" ht="15.75">
      <c r="B35" s="19"/>
      <c r="C35" s="19"/>
      <c r="D35" s="19"/>
      <c r="E35" s="151"/>
      <c r="F35" s="170"/>
      <c r="G35" s="151"/>
      <c r="H35" s="19"/>
      <c r="J35" s="152"/>
      <c r="K35" s="152"/>
      <c r="L35" s="152"/>
      <c r="M35" s="152"/>
      <c r="N35" s="152"/>
      <c r="O35" s="152"/>
      <c r="P35" s="152"/>
      <c r="Q35" s="152"/>
      <c r="R35" s="152"/>
      <c r="S35" s="152"/>
      <c r="U35" s="152"/>
      <c r="V35" s="152"/>
      <c r="W35" s="152"/>
      <c r="X35" s="152"/>
      <c r="Y35" s="152"/>
      <c r="Z35" s="152"/>
      <c r="AA35" s="152"/>
      <c r="AB35" s="152"/>
      <c r="AC35" s="152"/>
      <c r="AD35" s="152"/>
      <c r="AF35" s="165"/>
      <c r="AG35" s="165"/>
      <c r="AH35" s="165"/>
      <c r="AI35" s="165"/>
      <c r="AJ35" s="165"/>
      <c r="AK35" s="165"/>
      <c r="AL35" s="165"/>
      <c r="AM35" s="165"/>
      <c r="AN35" s="165"/>
      <c r="AO35" s="165"/>
      <c r="AQ35" s="152"/>
      <c r="AR35" s="152"/>
      <c r="AS35" s="152"/>
      <c r="AT35" s="152"/>
      <c r="AU35" s="152"/>
      <c r="AV35" s="152"/>
      <c r="AW35" s="152"/>
      <c r="AX35" s="152"/>
      <c r="AY35" s="152"/>
      <c r="AZ35" s="152"/>
      <c r="BB35" s="152"/>
      <c r="BC35" s="152"/>
      <c r="BD35" s="152"/>
      <c r="BE35" s="152"/>
      <c r="BF35" s="152"/>
      <c r="BG35" s="152"/>
      <c r="BH35" s="152"/>
      <c r="BI35" s="152"/>
      <c r="BJ35" s="152"/>
      <c r="BK35" s="152"/>
      <c r="BM35" s="125">
        <f t="shared" si="30"/>
        <v>0</v>
      </c>
      <c r="BN35" s="125">
        <f t="shared" si="30"/>
        <v>0</v>
      </c>
      <c r="BO35" s="125">
        <f t="shared" si="30"/>
        <v>0</v>
      </c>
      <c r="BP35" s="125">
        <f t="shared" si="30"/>
        <v>0</v>
      </c>
      <c r="BQ35" s="125">
        <f t="shared" si="30"/>
        <v>0</v>
      </c>
      <c r="BR35" s="125">
        <f t="shared" si="30"/>
        <v>0</v>
      </c>
      <c r="BS35" s="125">
        <f t="shared" si="30"/>
        <v>0</v>
      </c>
      <c r="BT35" s="125">
        <f t="shared" si="30"/>
        <v>0</v>
      </c>
      <c r="BU35" s="125">
        <f t="shared" si="30"/>
        <v>0</v>
      </c>
      <c r="BV35" s="125">
        <f t="shared" si="30"/>
        <v>0</v>
      </c>
      <c r="BX35" s="160"/>
      <c r="BY35" s="159"/>
      <c r="BZ35" s="159"/>
      <c r="CA35" s="159"/>
      <c r="CB35" s="159"/>
      <c r="CC35" s="159"/>
      <c r="CD35" s="159"/>
      <c r="CE35" s="159"/>
      <c r="CF35" s="159"/>
      <c r="CG35" s="159"/>
      <c r="CI35" s="128">
        <f t="shared" si="72"/>
        <v>0</v>
      </c>
      <c r="CJ35" s="128">
        <f t="shared" si="72"/>
        <v>0</v>
      </c>
      <c r="CK35" s="128">
        <f t="shared" si="72"/>
        <v>0</v>
      </c>
      <c r="CL35" s="128">
        <f t="shared" si="72"/>
        <v>0</v>
      </c>
      <c r="CM35" s="128">
        <f t="shared" si="72"/>
        <v>0</v>
      </c>
      <c r="CN35" s="128">
        <f t="shared" si="72"/>
        <v>0</v>
      </c>
      <c r="CO35" s="128">
        <f t="shared" si="72"/>
        <v>0</v>
      </c>
      <c r="CP35" s="128">
        <f t="shared" si="72"/>
        <v>0</v>
      </c>
      <c r="CQ35" s="128">
        <f t="shared" si="72"/>
        <v>0</v>
      </c>
      <c r="CR35" s="128">
        <f t="shared" si="72"/>
        <v>0</v>
      </c>
      <c r="CT35" s="125">
        <f t="shared" si="73"/>
        <v>0</v>
      </c>
      <c r="CU35" s="125">
        <f t="shared" si="73"/>
        <v>0</v>
      </c>
      <c r="CV35" s="125">
        <f t="shared" si="73"/>
        <v>0</v>
      </c>
      <c r="CW35" s="125">
        <f t="shared" si="73"/>
        <v>0</v>
      </c>
      <c r="CX35" s="125">
        <f t="shared" si="73"/>
        <v>0</v>
      </c>
      <c r="CY35" s="125">
        <f t="shared" si="73"/>
        <v>0</v>
      </c>
      <c r="CZ35" s="125">
        <f t="shared" si="73"/>
        <v>0</v>
      </c>
      <c r="DA35" s="125">
        <f t="shared" si="73"/>
        <v>0</v>
      </c>
      <c r="DB35" s="125">
        <f t="shared" si="73"/>
        <v>0</v>
      </c>
      <c r="DC35" s="125">
        <f t="shared" si="73"/>
        <v>0</v>
      </c>
      <c r="DE35" s="127">
        <f t="shared" si="86"/>
        <v>0</v>
      </c>
      <c r="DF35" s="127">
        <f t="shared" si="86"/>
        <v>0</v>
      </c>
      <c r="DG35" s="127">
        <f t="shared" si="86"/>
        <v>0</v>
      </c>
      <c r="DH35" s="127">
        <f t="shared" si="86"/>
        <v>0</v>
      </c>
      <c r="DI35" s="127">
        <f t="shared" si="86"/>
        <v>0</v>
      </c>
      <c r="DJ35" s="127">
        <f t="shared" si="85"/>
        <v>0</v>
      </c>
      <c r="DK35" s="127">
        <f t="shared" si="85"/>
        <v>0</v>
      </c>
      <c r="DL35" s="127">
        <f t="shared" si="85"/>
        <v>0</v>
      </c>
      <c r="DM35" s="127">
        <f t="shared" si="85"/>
        <v>0</v>
      </c>
      <c r="DN35" s="127">
        <f t="shared" si="85"/>
        <v>0</v>
      </c>
      <c r="DP35" s="127">
        <v>0.24</v>
      </c>
      <c r="DQ35" s="512">
        <f t="shared" si="81"/>
        <v>-6.500000000000148E-3</v>
      </c>
      <c r="DR35" s="506">
        <f t="shared" si="81"/>
        <v>0.05</v>
      </c>
      <c r="DS35" s="506">
        <f t="shared" si="78"/>
        <v>0.1</v>
      </c>
      <c r="DT35" s="506">
        <f t="shared" si="78"/>
        <v>0.15000000000000002</v>
      </c>
      <c r="DU35" s="506">
        <f t="shared" si="82"/>
        <v>0.22</v>
      </c>
      <c r="DV35" s="506">
        <f t="shared" si="82"/>
        <v>0.25</v>
      </c>
      <c r="DW35" s="506">
        <f t="shared" si="74"/>
        <v>0.25</v>
      </c>
      <c r="DX35" s="506">
        <f t="shared" si="74"/>
        <v>0.25</v>
      </c>
      <c r="DY35" s="506">
        <f t="shared" si="74"/>
        <v>0.25</v>
      </c>
      <c r="EA35" s="20">
        <f t="shared" si="32"/>
        <v>0</v>
      </c>
      <c r="EB35" s="20">
        <f t="shared" si="25"/>
        <v>0</v>
      </c>
      <c r="EC35" s="128">
        <f t="shared" si="25"/>
        <v>0</v>
      </c>
      <c r="ED35" s="128">
        <f t="shared" si="25"/>
        <v>0</v>
      </c>
      <c r="EE35" s="128">
        <f t="shared" si="25"/>
        <v>0</v>
      </c>
      <c r="EF35" s="128">
        <f t="shared" si="25"/>
        <v>0</v>
      </c>
      <c r="EG35" s="128">
        <f t="shared" si="25"/>
        <v>0</v>
      </c>
      <c r="EH35" s="128">
        <f t="shared" si="25"/>
        <v>0</v>
      </c>
      <c r="EI35" s="128">
        <f t="shared" si="25"/>
        <v>0</v>
      </c>
      <c r="EJ35" s="128">
        <f t="shared" si="25"/>
        <v>0</v>
      </c>
    </row>
    <row r="36" spans="2:140">
      <c r="B36" s="19"/>
      <c r="C36" s="19"/>
      <c r="D36" s="19"/>
      <c r="E36" s="151"/>
      <c r="F36" s="170"/>
      <c r="G36" s="151"/>
      <c r="H36" s="19"/>
      <c r="J36" s="152"/>
      <c r="K36" s="152"/>
      <c r="L36" s="152"/>
      <c r="M36" s="152"/>
      <c r="N36" s="152"/>
      <c r="O36" s="152"/>
      <c r="P36" s="152"/>
      <c r="Q36" s="152"/>
      <c r="R36" s="152"/>
      <c r="S36" s="152"/>
      <c r="U36" s="152"/>
      <c r="V36" s="152"/>
      <c r="W36" s="152"/>
      <c r="X36" s="152"/>
      <c r="Y36" s="152"/>
      <c r="Z36" s="152"/>
      <c r="AA36" s="152"/>
      <c r="AB36" s="152"/>
      <c r="AC36" s="152"/>
      <c r="AD36" s="152"/>
      <c r="AF36" s="165"/>
      <c r="AG36" s="165"/>
      <c r="AH36" s="165"/>
      <c r="AI36" s="165"/>
      <c r="AJ36" s="165"/>
      <c r="AK36" s="165"/>
      <c r="AL36" s="165"/>
      <c r="AM36" s="165"/>
      <c r="AN36" s="165"/>
      <c r="AO36" s="165"/>
      <c r="AQ36" s="152"/>
      <c r="AR36" s="152"/>
      <c r="AS36" s="152"/>
      <c r="AT36" s="152"/>
      <c r="AU36" s="152"/>
      <c r="AV36" s="152"/>
      <c r="AW36" s="152"/>
      <c r="AX36" s="152"/>
      <c r="AY36" s="152"/>
      <c r="AZ36" s="152"/>
      <c r="BB36" s="152"/>
      <c r="BC36" s="152"/>
      <c r="BD36" s="152"/>
      <c r="BE36" s="152"/>
      <c r="BF36" s="152"/>
      <c r="BG36" s="152"/>
      <c r="BH36" s="152"/>
      <c r="BI36" s="152"/>
      <c r="BJ36" s="152"/>
      <c r="BK36" s="152"/>
      <c r="BM36" s="152">
        <f t="shared" ref="BM36:BV47" si="87">(J36*U36*AF36*AQ36*BB36)/1000</f>
        <v>0</v>
      </c>
      <c r="BN36" s="152">
        <f t="shared" si="87"/>
        <v>0</v>
      </c>
      <c r="BO36" s="152">
        <f t="shared" si="87"/>
        <v>0</v>
      </c>
      <c r="BP36" s="152">
        <f t="shared" si="87"/>
        <v>0</v>
      </c>
      <c r="BQ36" s="152">
        <f t="shared" si="87"/>
        <v>0</v>
      </c>
      <c r="BR36" s="152">
        <f t="shared" si="87"/>
        <v>0</v>
      </c>
      <c r="BS36" s="152">
        <f t="shared" si="87"/>
        <v>0</v>
      </c>
      <c r="BT36" s="152">
        <f t="shared" si="87"/>
        <v>0</v>
      </c>
      <c r="BU36" s="152">
        <f t="shared" si="87"/>
        <v>0</v>
      </c>
      <c r="BV36" s="152">
        <f t="shared" si="87"/>
        <v>0</v>
      </c>
      <c r="BX36" s="160"/>
      <c r="BY36" s="159"/>
      <c r="BZ36" s="159"/>
      <c r="CA36" s="159"/>
      <c r="CB36" s="159"/>
      <c r="CC36" s="159"/>
      <c r="CD36" s="159"/>
      <c r="CE36" s="159"/>
      <c r="CF36" s="159"/>
      <c r="CG36" s="159"/>
      <c r="CI36" s="128">
        <f t="shared" si="72"/>
        <v>0</v>
      </c>
      <c r="CJ36" s="128">
        <f t="shared" si="72"/>
        <v>0</v>
      </c>
      <c r="CK36" s="128">
        <f t="shared" si="72"/>
        <v>0</v>
      </c>
      <c r="CL36" s="128">
        <f t="shared" si="72"/>
        <v>0</v>
      </c>
      <c r="CM36" s="128">
        <f t="shared" si="72"/>
        <v>0</v>
      </c>
      <c r="CN36" s="128">
        <f t="shared" si="72"/>
        <v>0</v>
      </c>
      <c r="CO36" s="128">
        <f t="shared" si="72"/>
        <v>0</v>
      </c>
      <c r="CP36" s="128">
        <f t="shared" si="72"/>
        <v>0</v>
      </c>
      <c r="CQ36" s="128">
        <f t="shared" si="72"/>
        <v>0</v>
      </c>
      <c r="CR36" s="128">
        <f t="shared" si="72"/>
        <v>0</v>
      </c>
      <c r="CT36" s="152">
        <f t="shared" si="73"/>
        <v>0</v>
      </c>
      <c r="CU36" s="152">
        <f t="shared" si="73"/>
        <v>0</v>
      </c>
      <c r="CV36" s="152">
        <f t="shared" si="73"/>
        <v>0</v>
      </c>
      <c r="CW36" s="152">
        <f t="shared" si="73"/>
        <v>0</v>
      </c>
      <c r="CX36" s="152">
        <f t="shared" si="73"/>
        <v>0</v>
      </c>
      <c r="CY36" s="152">
        <f t="shared" si="73"/>
        <v>0</v>
      </c>
      <c r="CZ36" s="152">
        <f t="shared" si="73"/>
        <v>0</v>
      </c>
      <c r="DA36" s="152">
        <f t="shared" si="73"/>
        <v>0</v>
      </c>
      <c r="DB36" s="152">
        <f t="shared" si="73"/>
        <v>0</v>
      </c>
      <c r="DC36" s="152">
        <f t="shared" si="73"/>
        <v>0</v>
      </c>
      <c r="DE36" s="154">
        <f t="shared" si="86"/>
        <v>0</v>
      </c>
      <c r="DF36" s="154">
        <f t="shared" si="86"/>
        <v>0</v>
      </c>
      <c r="DG36" s="154">
        <f t="shared" si="86"/>
        <v>0</v>
      </c>
      <c r="DH36" s="154">
        <f t="shared" si="86"/>
        <v>0</v>
      </c>
      <c r="DI36" s="154">
        <f t="shared" si="86"/>
        <v>0</v>
      </c>
      <c r="DJ36" s="154">
        <f t="shared" si="85"/>
        <v>0</v>
      </c>
      <c r="DK36" s="154">
        <f t="shared" si="85"/>
        <v>0</v>
      </c>
      <c r="DL36" s="154">
        <f t="shared" si="85"/>
        <v>0</v>
      </c>
      <c r="DM36" s="154">
        <f t="shared" si="85"/>
        <v>0</v>
      </c>
      <c r="DN36" s="154">
        <f t="shared" si="85"/>
        <v>0</v>
      </c>
      <c r="DP36" s="154"/>
      <c r="DQ36" s="154"/>
      <c r="DR36" s="127"/>
      <c r="DS36" s="127"/>
      <c r="DT36" s="127"/>
      <c r="DU36" s="127"/>
      <c r="DV36" s="127"/>
      <c r="DW36" s="127"/>
      <c r="DX36" s="127"/>
      <c r="DY36" s="127"/>
      <c r="EA36" s="20">
        <f t="shared" si="32"/>
        <v>0</v>
      </c>
      <c r="EB36" s="20">
        <f t="shared" si="25"/>
        <v>0</v>
      </c>
      <c r="EC36" s="128">
        <f t="shared" si="25"/>
        <v>0</v>
      </c>
      <c r="ED36" s="128">
        <f t="shared" si="25"/>
        <v>0</v>
      </c>
      <c r="EE36" s="128">
        <f t="shared" ref="EE36:EJ47" si="88">CM36*(1-DT36)</f>
        <v>0</v>
      </c>
      <c r="EF36" s="128">
        <f t="shared" si="88"/>
        <v>0</v>
      </c>
      <c r="EG36" s="128">
        <f t="shared" si="88"/>
        <v>0</v>
      </c>
      <c r="EH36" s="128">
        <f t="shared" si="88"/>
        <v>0</v>
      </c>
      <c r="EI36" s="128">
        <f t="shared" si="88"/>
        <v>0</v>
      </c>
      <c r="EJ36" s="128">
        <f t="shared" si="88"/>
        <v>0</v>
      </c>
    </row>
    <row r="37" spans="2:140">
      <c r="B37" s="19"/>
      <c r="C37" s="19"/>
      <c r="D37" s="19"/>
      <c r="E37" s="151"/>
      <c r="F37" s="170"/>
      <c r="G37" s="151"/>
      <c r="H37" s="19"/>
      <c r="J37" s="152"/>
      <c r="K37" s="152"/>
      <c r="L37" s="152"/>
      <c r="M37" s="152"/>
      <c r="N37" s="152"/>
      <c r="O37" s="152"/>
      <c r="P37" s="152"/>
      <c r="Q37" s="152"/>
      <c r="R37" s="152"/>
      <c r="S37" s="152"/>
      <c r="U37" s="152"/>
      <c r="V37" s="152"/>
      <c r="W37" s="152"/>
      <c r="X37" s="152"/>
      <c r="Y37" s="152"/>
      <c r="Z37" s="152"/>
      <c r="AA37" s="152"/>
      <c r="AB37" s="152"/>
      <c r="AC37" s="152"/>
      <c r="AD37" s="152"/>
      <c r="AF37" s="165"/>
      <c r="AG37" s="165"/>
      <c r="AH37" s="165"/>
      <c r="AI37" s="165"/>
      <c r="AJ37" s="165"/>
      <c r="AK37" s="165"/>
      <c r="AL37" s="165"/>
      <c r="AM37" s="165"/>
      <c r="AN37" s="165"/>
      <c r="AO37" s="165"/>
      <c r="AQ37" s="152"/>
      <c r="AR37" s="152"/>
      <c r="AS37" s="152"/>
      <c r="AT37" s="152"/>
      <c r="AU37" s="152"/>
      <c r="AV37" s="152"/>
      <c r="AW37" s="152"/>
      <c r="AX37" s="152"/>
      <c r="AY37" s="152"/>
      <c r="AZ37" s="152"/>
      <c r="BB37" s="152"/>
      <c r="BC37" s="152"/>
      <c r="BD37" s="152"/>
      <c r="BE37" s="152"/>
      <c r="BF37" s="152"/>
      <c r="BG37" s="152"/>
      <c r="BH37" s="152"/>
      <c r="BI37" s="152"/>
      <c r="BJ37" s="152"/>
      <c r="BK37" s="152"/>
      <c r="BM37" s="152">
        <f t="shared" si="87"/>
        <v>0</v>
      </c>
      <c r="BN37" s="152">
        <f t="shared" si="87"/>
        <v>0</v>
      </c>
      <c r="BO37" s="152">
        <f t="shared" si="87"/>
        <v>0</v>
      </c>
      <c r="BP37" s="152">
        <f t="shared" si="87"/>
        <v>0</v>
      </c>
      <c r="BQ37" s="152">
        <f t="shared" si="87"/>
        <v>0</v>
      </c>
      <c r="BR37" s="152">
        <f t="shared" si="87"/>
        <v>0</v>
      </c>
      <c r="BS37" s="152">
        <f t="shared" si="87"/>
        <v>0</v>
      </c>
      <c r="BT37" s="152">
        <f t="shared" si="87"/>
        <v>0</v>
      </c>
      <c r="BU37" s="152">
        <f t="shared" si="87"/>
        <v>0</v>
      </c>
      <c r="BV37" s="152">
        <f t="shared" si="87"/>
        <v>0</v>
      </c>
      <c r="BX37" s="160"/>
      <c r="BY37" s="159"/>
      <c r="BZ37" s="159"/>
      <c r="CA37" s="159"/>
      <c r="CB37" s="159"/>
      <c r="CC37" s="159"/>
      <c r="CD37" s="159"/>
      <c r="CE37" s="159"/>
      <c r="CF37" s="159"/>
      <c r="CG37" s="159"/>
      <c r="CI37" s="128">
        <f t="shared" si="72"/>
        <v>0</v>
      </c>
      <c r="CJ37" s="128">
        <f t="shared" si="72"/>
        <v>0</v>
      </c>
      <c r="CK37" s="128">
        <f t="shared" si="72"/>
        <v>0</v>
      </c>
      <c r="CL37" s="128">
        <f t="shared" si="72"/>
        <v>0</v>
      </c>
      <c r="CM37" s="128">
        <f t="shared" si="72"/>
        <v>0</v>
      </c>
      <c r="CN37" s="128">
        <f t="shared" si="72"/>
        <v>0</v>
      </c>
      <c r="CO37" s="128">
        <f t="shared" si="72"/>
        <v>0</v>
      </c>
      <c r="CP37" s="128">
        <f t="shared" si="72"/>
        <v>0</v>
      </c>
      <c r="CQ37" s="128">
        <f t="shared" si="72"/>
        <v>0</v>
      </c>
      <c r="CR37" s="128">
        <f t="shared" si="72"/>
        <v>0</v>
      </c>
      <c r="CT37" s="152">
        <f t="shared" si="73"/>
        <v>0</v>
      </c>
      <c r="CU37" s="152">
        <f t="shared" si="73"/>
        <v>0</v>
      </c>
      <c r="CV37" s="152">
        <f t="shared" si="73"/>
        <v>0</v>
      </c>
      <c r="CW37" s="152">
        <f t="shared" si="73"/>
        <v>0</v>
      </c>
      <c r="CX37" s="152">
        <f t="shared" si="73"/>
        <v>0</v>
      </c>
      <c r="CY37" s="152">
        <f t="shared" si="73"/>
        <v>0</v>
      </c>
      <c r="CZ37" s="152">
        <f t="shared" si="73"/>
        <v>0</v>
      </c>
      <c r="DA37" s="152">
        <f t="shared" si="73"/>
        <v>0</v>
      </c>
      <c r="DB37" s="152">
        <f t="shared" si="73"/>
        <v>0</v>
      </c>
      <c r="DC37" s="152">
        <f t="shared" si="73"/>
        <v>0</v>
      </c>
      <c r="DE37" s="154">
        <f t="shared" si="86"/>
        <v>0</v>
      </c>
      <c r="DF37" s="154">
        <f t="shared" si="86"/>
        <v>0</v>
      </c>
      <c r="DG37" s="154">
        <f t="shared" si="86"/>
        <v>0</v>
      </c>
      <c r="DH37" s="154">
        <f t="shared" si="86"/>
        <v>0</v>
      </c>
      <c r="DI37" s="154">
        <f t="shared" si="86"/>
        <v>0</v>
      </c>
      <c r="DJ37" s="154">
        <f t="shared" si="85"/>
        <v>0</v>
      </c>
      <c r="DK37" s="154">
        <f t="shared" si="85"/>
        <v>0</v>
      </c>
      <c r="DL37" s="154">
        <f t="shared" si="85"/>
        <v>0</v>
      </c>
      <c r="DM37" s="154">
        <f t="shared" si="85"/>
        <v>0</v>
      </c>
      <c r="DN37" s="154">
        <f t="shared" si="85"/>
        <v>0</v>
      </c>
      <c r="DP37" s="154"/>
      <c r="DQ37" s="154"/>
      <c r="DR37" s="127"/>
      <c r="DS37" s="127"/>
      <c r="DT37" s="127"/>
      <c r="DU37" s="127"/>
      <c r="DV37" s="127"/>
      <c r="DW37" s="127"/>
      <c r="DX37" s="127"/>
      <c r="DY37" s="127"/>
      <c r="EA37" s="20">
        <f t="shared" si="32"/>
        <v>0</v>
      </c>
      <c r="EB37" s="20">
        <f t="shared" si="32"/>
        <v>0</v>
      </c>
      <c r="EC37" s="128">
        <f t="shared" si="32"/>
        <v>0</v>
      </c>
      <c r="ED37" s="128">
        <f t="shared" si="32"/>
        <v>0</v>
      </c>
      <c r="EE37" s="128">
        <f t="shared" si="88"/>
        <v>0</v>
      </c>
      <c r="EF37" s="128">
        <f t="shared" si="88"/>
        <v>0</v>
      </c>
      <c r="EG37" s="128">
        <f t="shared" si="88"/>
        <v>0</v>
      </c>
      <c r="EH37" s="128">
        <f t="shared" si="88"/>
        <v>0</v>
      </c>
      <c r="EI37" s="128">
        <f t="shared" si="88"/>
        <v>0</v>
      </c>
      <c r="EJ37" s="128">
        <f t="shared" si="88"/>
        <v>0</v>
      </c>
    </row>
    <row r="38" spans="2:140">
      <c r="B38" s="19"/>
      <c r="C38" s="19"/>
      <c r="D38" s="19"/>
      <c r="E38" s="151"/>
      <c r="F38" s="170"/>
      <c r="G38" s="151"/>
      <c r="H38" s="19"/>
      <c r="J38" s="152"/>
      <c r="K38" s="152"/>
      <c r="L38" s="152"/>
      <c r="M38" s="152"/>
      <c r="N38" s="152"/>
      <c r="O38" s="152"/>
      <c r="P38" s="152"/>
      <c r="Q38" s="152"/>
      <c r="R38" s="152"/>
      <c r="S38" s="152"/>
      <c r="U38" s="152"/>
      <c r="V38" s="152"/>
      <c r="W38" s="152"/>
      <c r="X38" s="152"/>
      <c r="Y38" s="152"/>
      <c r="Z38" s="152"/>
      <c r="AA38" s="152"/>
      <c r="AB38" s="152"/>
      <c r="AC38" s="152"/>
      <c r="AD38" s="152"/>
      <c r="AF38" s="165"/>
      <c r="AG38" s="165"/>
      <c r="AH38" s="165"/>
      <c r="AI38" s="165"/>
      <c r="AJ38" s="165"/>
      <c r="AK38" s="165"/>
      <c r="AL38" s="165"/>
      <c r="AM38" s="165"/>
      <c r="AN38" s="165"/>
      <c r="AO38" s="165"/>
      <c r="AQ38" s="152"/>
      <c r="AR38" s="152"/>
      <c r="AS38" s="152"/>
      <c r="AT38" s="152"/>
      <c r="AU38" s="152"/>
      <c r="AV38" s="152"/>
      <c r="AW38" s="152"/>
      <c r="AX38" s="152"/>
      <c r="AY38" s="152"/>
      <c r="AZ38" s="152"/>
      <c r="BB38" s="152"/>
      <c r="BC38" s="152"/>
      <c r="BD38" s="152"/>
      <c r="BE38" s="152"/>
      <c r="BF38" s="152"/>
      <c r="BG38" s="152"/>
      <c r="BH38" s="152"/>
      <c r="BI38" s="152"/>
      <c r="BJ38" s="152"/>
      <c r="BK38" s="152"/>
      <c r="BM38" s="152">
        <f t="shared" si="87"/>
        <v>0</v>
      </c>
      <c r="BN38" s="152">
        <f t="shared" si="87"/>
        <v>0</v>
      </c>
      <c r="BO38" s="152">
        <f t="shared" si="87"/>
        <v>0</v>
      </c>
      <c r="BP38" s="152">
        <f t="shared" si="87"/>
        <v>0</v>
      </c>
      <c r="BQ38" s="152">
        <f t="shared" si="87"/>
        <v>0</v>
      </c>
      <c r="BR38" s="152">
        <f t="shared" si="87"/>
        <v>0</v>
      </c>
      <c r="BS38" s="152">
        <f t="shared" si="87"/>
        <v>0</v>
      </c>
      <c r="BT38" s="152">
        <f t="shared" si="87"/>
        <v>0</v>
      </c>
      <c r="BU38" s="152">
        <f t="shared" si="87"/>
        <v>0</v>
      </c>
      <c r="BV38" s="152">
        <f t="shared" si="87"/>
        <v>0</v>
      </c>
      <c r="BX38" s="160"/>
      <c r="BY38" s="159"/>
      <c r="BZ38" s="159"/>
      <c r="CA38" s="159"/>
      <c r="CB38" s="159"/>
      <c r="CC38" s="159"/>
      <c r="CD38" s="159"/>
      <c r="CE38" s="159"/>
      <c r="CF38" s="159"/>
      <c r="CG38" s="159"/>
      <c r="CI38" s="128">
        <f t="shared" si="72"/>
        <v>0</v>
      </c>
      <c r="CJ38" s="128">
        <f t="shared" si="72"/>
        <v>0</v>
      </c>
      <c r="CK38" s="128">
        <f t="shared" si="72"/>
        <v>0</v>
      </c>
      <c r="CL38" s="128">
        <f t="shared" si="72"/>
        <v>0</v>
      </c>
      <c r="CM38" s="128">
        <f t="shared" si="72"/>
        <v>0</v>
      </c>
      <c r="CN38" s="128">
        <f t="shared" si="72"/>
        <v>0</v>
      </c>
      <c r="CO38" s="128">
        <f t="shared" si="72"/>
        <v>0</v>
      </c>
      <c r="CP38" s="128">
        <f t="shared" si="72"/>
        <v>0</v>
      </c>
      <c r="CQ38" s="128">
        <f t="shared" si="72"/>
        <v>0</v>
      </c>
      <c r="CR38" s="128">
        <f t="shared" si="72"/>
        <v>0</v>
      </c>
      <c r="CT38" s="152">
        <f t="shared" si="73"/>
        <v>0</v>
      </c>
      <c r="CU38" s="152">
        <f t="shared" si="73"/>
        <v>0</v>
      </c>
      <c r="CV38" s="152">
        <f t="shared" si="73"/>
        <v>0</v>
      </c>
      <c r="CW38" s="152">
        <f t="shared" si="73"/>
        <v>0</v>
      </c>
      <c r="CX38" s="152">
        <f t="shared" si="73"/>
        <v>0</v>
      </c>
      <c r="CY38" s="152">
        <f t="shared" si="73"/>
        <v>0</v>
      </c>
      <c r="CZ38" s="152">
        <f t="shared" si="73"/>
        <v>0</v>
      </c>
      <c r="DA38" s="152">
        <f t="shared" si="73"/>
        <v>0</v>
      </c>
      <c r="DB38" s="152">
        <f t="shared" si="73"/>
        <v>0</v>
      </c>
      <c r="DC38" s="152">
        <f t="shared" si="73"/>
        <v>0</v>
      </c>
      <c r="DE38" s="154">
        <f t="shared" si="86"/>
        <v>0</v>
      </c>
      <c r="DF38" s="154">
        <f t="shared" si="86"/>
        <v>0</v>
      </c>
      <c r="DG38" s="154">
        <f t="shared" si="86"/>
        <v>0</v>
      </c>
      <c r="DH38" s="154">
        <f t="shared" si="86"/>
        <v>0</v>
      </c>
      <c r="DI38" s="154">
        <f t="shared" si="86"/>
        <v>0</v>
      </c>
      <c r="DJ38" s="154">
        <f t="shared" si="85"/>
        <v>0</v>
      </c>
      <c r="DK38" s="154">
        <f t="shared" si="85"/>
        <v>0</v>
      </c>
      <c r="DL38" s="154">
        <f t="shared" si="85"/>
        <v>0</v>
      </c>
      <c r="DM38" s="154">
        <f t="shared" si="85"/>
        <v>0</v>
      </c>
      <c r="DN38" s="154">
        <f t="shared" si="85"/>
        <v>0</v>
      </c>
      <c r="DP38" s="154"/>
      <c r="DQ38" s="154"/>
      <c r="DR38" s="127"/>
      <c r="DS38" s="127"/>
      <c r="DT38" s="127"/>
      <c r="DU38" s="127"/>
      <c r="DV38" s="127"/>
      <c r="DW38" s="127"/>
      <c r="DX38" s="127"/>
      <c r="DY38" s="127"/>
      <c r="EA38" s="20">
        <f t="shared" si="32"/>
        <v>0</v>
      </c>
      <c r="EB38" s="20">
        <f t="shared" si="32"/>
        <v>0</v>
      </c>
      <c r="EC38" s="128">
        <f t="shared" si="32"/>
        <v>0</v>
      </c>
      <c r="ED38" s="128">
        <f t="shared" si="32"/>
        <v>0</v>
      </c>
      <c r="EE38" s="128">
        <f t="shared" si="88"/>
        <v>0</v>
      </c>
      <c r="EF38" s="128">
        <f t="shared" si="88"/>
        <v>0</v>
      </c>
      <c r="EG38" s="128">
        <f t="shared" si="88"/>
        <v>0</v>
      </c>
      <c r="EH38" s="128">
        <f t="shared" si="88"/>
        <v>0</v>
      </c>
      <c r="EI38" s="128">
        <f t="shared" si="88"/>
        <v>0</v>
      </c>
      <c r="EJ38" s="128">
        <f t="shared" si="88"/>
        <v>0</v>
      </c>
    </row>
    <row r="39" spans="2:140">
      <c r="B39" s="19"/>
      <c r="C39" s="19"/>
      <c r="D39" s="19"/>
      <c r="E39" s="151"/>
      <c r="F39" s="170"/>
      <c r="G39" s="151"/>
      <c r="H39" s="19"/>
      <c r="J39" s="152"/>
      <c r="K39" s="152"/>
      <c r="L39" s="152"/>
      <c r="M39" s="152"/>
      <c r="N39" s="152"/>
      <c r="O39" s="152"/>
      <c r="P39" s="152"/>
      <c r="Q39" s="152"/>
      <c r="R39" s="152"/>
      <c r="S39" s="152"/>
      <c r="U39" s="152"/>
      <c r="V39" s="152"/>
      <c r="W39" s="152"/>
      <c r="X39" s="152"/>
      <c r="Y39" s="152"/>
      <c r="Z39" s="152"/>
      <c r="AA39" s="152"/>
      <c r="AB39" s="152"/>
      <c r="AC39" s="152"/>
      <c r="AD39" s="152"/>
      <c r="AF39" s="165"/>
      <c r="AG39" s="165"/>
      <c r="AH39" s="165"/>
      <c r="AI39" s="165"/>
      <c r="AJ39" s="165"/>
      <c r="AK39" s="165"/>
      <c r="AL39" s="165"/>
      <c r="AM39" s="165"/>
      <c r="AN39" s="165"/>
      <c r="AO39" s="165"/>
      <c r="AQ39" s="152"/>
      <c r="AR39" s="152"/>
      <c r="AS39" s="152"/>
      <c r="AT39" s="152"/>
      <c r="AU39" s="152"/>
      <c r="AV39" s="152"/>
      <c r="AW39" s="152"/>
      <c r="AX39" s="152"/>
      <c r="AY39" s="152"/>
      <c r="AZ39" s="152"/>
      <c r="BB39" s="152"/>
      <c r="BC39" s="152"/>
      <c r="BD39" s="152"/>
      <c r="BE39" s="152"/>
      <c r="BF39" s="152"/>
      <c r="BG39" s="152"/>
      <c r="BH39" s="152"/>
      <c r="BI39" s="152"/>
      <c r="BJ39" s="152"/>
      <c r="BK39" s="152"/>
      <c r="BM39" s="152">
        <f t="shared" si="87"/>
        <v>0</v>
      </c>
      <c r="BN39" s="152">
        <f t="shared" si="87"/>
        <v>0</v>
      </c>
      <c r="BO39" s="152">
        <f t="shared" si="87"/>
        <v>0</v>
      </c>
      <c r="BP39" s="152">
        <f t="shared" si="87"/>
        <v>0</v>
      </c>
      <c r="BQ39" s="152">
        <f t="shared" si="87"/>
        <v>0</v>
      </c>
      <c r="BR39" s="152">
        <f t="shared" si="87"/>
        <v>0</v>
      </c>
      <c r="BS39" s="152">
        <f t="shared" si="87"/>
        <v>0</v>
      </c>
      <c r="BT39" s="152">
        <f t="shared" si="87"/>
        <v>0</v>
      </c>
      <c r="BU39" s="152">
        <f t="shared" si="87"/>
        <v>0</v>
      </c>
      <c r="BV39" s="152">
        <f t="shared" si="87"/>
        <v>0</v>
      </c>
      <c r="BX39" s="160"/>
      <c r="BY39" s="159"/>
      <c r="BZ39" s="159"/>
      <c r="CA39" s="159"/>
      <c r="CB39" s="159"/>
      <c r="CC39" s="159"/>
      <c r="CD39" s="159"/>
      <c r="CE39" s="159"/>
      <c r="CF39" s="159"/>
      <c r="CG39" s="159"/>
      <c r="CI39" s="128">
        <f t="shared" si="72"/>
        <v>0</v>
      </c>
      <c r="CJ39" s="128">
        <f t="shared" si="72"/>
        <v>0</v>
      </c>
      <c r="CK39" s="128">
        <f t="shared" si="72"/>
        <v>0</v>
      </c>
      <c r="CL39" s="128">
        <f t="shared" si="72"/>
        <v>0</v>
      </c>
      <c r="CM39" s="128">
        <f t="shared" si="72"/>
        <v>0</v>
      </c>
      <c r="CN39" s="128">
        <f t="shared" si="72"/>
        <v>0</v>
      </c>
      <c r="CO39" s="128">
        <f t="shared" si="72"/>
        <v>0</v>
      </c>
      <c r="CP39" s="128">
        <f t="shared" si="72"/>
        <v>0</v>
      </c>
      <c r="CQ39" s="128">
        <f t="shared" si="72"/>
        <v>0</v>
      </c>
      <c r="CR39" s="128">
        <f t="shared" si="72"/>
        <v>0</v>
      </c>
      <c r="CT39" s="152">
        <f t="shared" si="73"/>
        <v>0</v>
      </c>
      <c r="CU39" s="152">
        <f t="shared" si="73"/>
        <v>0</v>
      </c>
      <c r="CV39" s="152">
        <f t="shared" si="73"/>
        <v>0</v>
      </c>
      <c r="CW39" s="152">
        <f t="shared" si="73"/>
        <v>0</v>
      </c>
      <c r="CX39" s="152">
        <f t="shared" si="73"/>
        <v>0</v>
      </c>
      <c r="CY39" s="152">
        <f t="shared" si="73"/>
        <v>0</v>
      </c>
      <c r="CZ39" s="152">
        <f t="shared" si="73"/>
        <v>0</v>
      </c>
      <c r="DA39" s="152">
        <f t="shared" si="73"/>
        <v>0</v>
      </c>
      <c r="DB39" s="152">
        <f t="shared" si="73"/>
        <v>0</v>
      </c>
      <c r="DC39" s="152">
        <f t="shared" si="73"/>
        <v>0</v>
      </c>
      <c r="DE39" s="154">
        <f t="shared" si="86"/>
        <v>0</v>
      </c>
      <c r="DF39" s="154">
        <f t="shared" si="86"/>
        <v>0</v>
      </c>
      <c r="DG39" s="154">
        <f t="shared" si="86"/>
        <v>0</v>
      </c>
      <c r="DH39" s="154">
        <f t="shared" si="86"/>
        <v>0</v>
      </c>
      <c r="DI39" s="154">
        <f t="shared" si="86"/>
        <v>0</v>
      </c>
      <c r="DJ39" s="154">
        <f t="shared" si="85"/>
        <v>0</v>
      </c>
      <c r="DK39" s="154">
        <f t="shared" si="85"/>
        <v>0</v>
      </c>
      <c r="DL39" s="154">
        <f t="shared" si="85"/>
        <v>0</v>
      </c>
      <c r="DM39" s="154">
        <f t="shared" si="85"/>
        <v>0</v>
      </c>
      <c r="DN39" s="154">
        <f t="shared" si="85"/>
        <v>0</v>
      </c>
      <c r="DP39" s="154"/>
      <c r="DQ39" s="154"/>
      <c r="DR39" s="127"/>
      <c r="DS39" s="127"/>
      <c r="DT39" s="127"/>
      <c r="DU39" s="127"/>
      <c r="DV39" s="127"/>
      <c r="DW39" s="127"/>
      <c r="DX39" s="127"/>
      <c r="DY39" s="127"/>
      <c r="EA39" s="20">
        <f t="shared" si="32"/>
        <v>0</v>
      </c>
      <c r="EB39" s="20">
        <f t="shared" si="32"/>
        <v>0</v>
      </c>
      <c r="EC39" s="128">
        <f t="shared" si="32"/>
        <v>0</v>
      </c>
      <c r="ED39" s="128">
        <f t="shared" si="32"/>
        <v>0</v>
      </c>
      <c r="EE39" s="128">
        <f t="shared" si="88"/>
        <v>0</v>
      </c>
      <c r="EF39" s="128">
        <f t="shared" si="88"/>
        <v>0</v>
      </c>
      <c r="EG39" s="128">
        <f t="shared" si="88"/>
        <v>0</v>
      </c>
      <c r="EH39" s="128">
        <f t="shared" si="88"/>
        <v>0</v>
      </c>
      <c r="EI39" s="128">
        <f t="shared" si="88"/>
        <v>0</v>
      </c>
      <c r="EJ39" s="128">
        <f t="shared" si="88"/>
        <v>0</v>
      </c>
    </row>
    <row r="40" spans="2:140">
      <c r="B40" s="19"/>
      <c r="C40" s="19"/>
      <c r="D40" s="19"/>
      <c r="E40" s="151"/>
      <c r="F40" s="170"/>
      <c r="G40" s="151"/>
      <c r="H40" s="19"/>
      <c r="J40" s="152"/>
      <c r="K40" s="152"/>
      <c r="L40" s="152"/>
      <c r="M40" s="152"/>
      <c r="N40" s="152"/>
      <c r="O40" s="152"/>
      <c r="P40" s="152"/>
      <c r="Q40" s="152"/>
      <c r="R40" s="152"/>
      <c r="S40" s="152"/>
      <c r="U40" s="152"/>
      <c r="V40" s="152"/>
      <c r="W40" s="152"/>
      <c r="X40" s="152"/>
      <c r="Y40" s="152"/>
      <c r="Z40" s="152"/>
      <c r="AA40" s="152"/>
      <c r="AB40" s="152"/>
      <c r="AC40" s="152"/>
      <c r="AD40" s="152"/>
      <c r="AF40" s="165"/>
      <c r="AG40" s="165"/>
      <c r="AH40" s="165"/>
      <c r="AI40" s="165"/>
      <c r="AJ40" s="165"/>
      <c r="AK40" s="165"/>
      <c r="AL40" s="165"/>
      <c r="AM40" s="165"/>
      <c r="AN40" s="165"/>
      <c r="AO40" s="165"/>
      <c r="AQ40" s="152"/>
      <c r="AR40" s="152"/>
      <c r="AS40" s="152"/>
      <c r="AT40" s="152"/>
      <c r="AU40" s="152"/>
      <c r="AV40" s="152"/>
      <c r="AW40" s="152"/>
      <c r="AX40" s="152"/>
      <c r="AY40" s="152"/>
      <c r="AZ40" s="152"/>
      <c r="BB40" s="152"/>
      <c r="BC40" s="152"/>
      <c r="BD40" s="152"/>
      <c r="BE40" s="152"/>
      <c r="BF40" s="152"/>
      <c r="BG40" s="152"/>
      <c r="BH40" s="152"/>
      <c r="BI40" s="152"/>
      <c r="BJ40" s="152"/>
      <c r="BK40" s="152"/>
      <c r="BM40" s="152">
        <f t="shared" si="87"/>
        <v>0</v>
      </c>
      <c r="BN40" s="152">
        <f t="shared" si="87"/>
        <v>0</v>
      </c>
      <c r="BO40" s="152">
        <f t="shared" si="87"/>
        <v>0</v>
      </c>
      <c r="BP40" s="152">
        <f t="shared" si="87"/>
        <v>0</v>
      </c>
      <c r="BQ40" s="152">
        <f t="shared" si="87"/>
        <v>0</v>
      </c>
      <c r="BR40" s="152">
        <f t="shared" si="87"/>
        <v>0</v>
      </c>
      <c r="BS40" s="152">
        <f t="shared" si="87"/>
        <v>0</v>
      </c>
      <c r="BT40" s="152">
        <f t="shared" si="87"/>
        <v>0</v>
      </c>
      <c r="BU40" s="152">
        <f t="shared" si="87"/>
        <v>0</v>
      </c>
      <c r="BV40" s="152">
        <f t="shared" si="87"/>
        <v>0</v>
      </c>
      <c r="BX40" s="160"/>
      <c r="BY40" s="159"/>
      <c r="BZ40" s="159"/>
      <c r="CA40" s="159"/>
      <c r="CB40" s="159"/>
      <c r="CC40" s="159"/>
      <c r="CD40" s="159"/>
      <c r="CE40" s="159"/>
      <c r="CF40" s="159"/>
      <c r="CG40" s="159"/>
      <c r="CI40" s="128">
        <f t="shared" si="72"/>
        <v>0</v>
      </c>
      <c r="CJ40" s="128">
        <f t="shared" si="72"/>
        <v>0</v>
      </c>
      <c r="CK40" s="128">
        <f t="shared" si="72"/>
        <v>0</v>
      </c>
      <c r="CL40" s="128">
        <f t="shared" si="72"/>
        <v>0</v>
      </c>
      <c r="CM40" s="128">
        <f t="shared" si="72"/>
        <v>0</v>
      </c>
      <c r="CN40" s="128">
        <f t="shared" si="72"/>
        <v>0</v>
      </c>
      <c r="CO40" s="128">
        <f t="shared" si="72"/>
        <v>0</v>
      </c>
      <c r="CP40" s="128">
        <f t="shared" si="72"/>
        <v>0</v>
      </c>
      <c r="CQ40" s="128">
        <f t="shared" si="72"/>
        <v>0</v>
      </c>
      <c r="CR40" s="128">
        <f t="shared" si="72"/>
        <v>0</v>
      </c>
      <c r="CT40" s="152">
        <f t="shared" si="73"/>
        <v>0</v>
      </c>
      <c r="CU40" s="152">
        <f t="shared" si="73"/>
        <v>0</v>
      </c>
      <c r="CV40" s="152">
        <f t="shared" si="73"/>
        <v>0</v>
      </c>
      <c r="CW40" s="152">
        <f t="shared" si="73"/>
        <v>0</v>
      </c>
      <c r="CX40" s="152">
        <f t="shared" si="73"/>
        <v>0</v>
      </c>
      <c r="CY40" s="152">
        <f t="shared" si="73"/>
        <v>0</v>
      </c>
      <c r="CZ40" s="152">
        <f t="shared" si="73"/>
        <v>0</v>
      </c>
      <c r="DA40" s="152">
        <f t="shared" si="73"/>
        <v>0</v>
      </c>
      <c r="DB40" s="152">
        <f t="shared" si="73"/>
        <v>0</v>
      </c>
      <c r="DC40" s="152">
        <f t="shared" si="73"/>
        <v>0</v>
      </c>
      <c r="DE40" s="154">
        <f t="shared" si="86"/>
        <v>0</v>
      </c>
      <c r="DF40" s="154">
        <f t="shared" si="86"/>
        <v>0</v>
      </c>
      <c r="DG40" s="154">
        <f t="shared" si="86"/>
        <v>0</v>
      </c>
      <c r="DH40" s="154">
        <f t="shared" si="86"/>
        <v>0</v>
      </c>
      <c r="DI40" s="154">
        <f t="shared" si="86"/>
        <v>0</v>
      </c>
      <c r="DJ40" s="154">
        <f t="shared" si="86"/>
        <v>0</v>
      </c>
      <c r="DK40" s="154">
        <f t="shared" si="86"/>
        <v>0</v>
      </c>
      <c r="DL40" s="154">
        <f t="shared" si="86"/>
        <v>0</v>
      </c>
      <c r="DM40" s="154">
        <f t="shared" si="86"/>
        <v>0</v>
      </c>
      <c r="DN40" s="154">
        <f t="shared" si="86"/>
        <v>0</v>
      </c>
      <c r="DP40" s="154"/>
      <c r="DQ40" s="154"/>
      <c r="DR40" s="127"/>
      <c r="DS40" s="127"/>
      <c r="DT40" s="127"/>
      <c r="DU40" s="127"/>
      <c r="DV40" s="127"/>
      <c r="DW40" s="127"/>
      <c r="DX40" s="127"/>
      <c r="DY40" s="127"/>
      <c r="EA40" s="20">
        <f t="shared" si="32"/>
        <v>0</v>
      </c>
      <c r="EB40" s="20">
        <f t="shared" si="32"/>
        <v>0</v>
      </c>
      <c r="EC40" s="128">
        <f t="shared" si="32"/>
        <v>0</v>
      </c>
      <c r="ED40" s="128">
        <f t="shared" si="32"/>
        <v>0</v>
      </c>
      <c r="EE40" s="128">
        <f t="shared" si="88"/>
        <v>0</v>
      </c>
      <c r="EF40" s="128">
        <f t="shared" si="88"/>
        <v>0</v>
      </c>
      <c r="EG40" s="128">
        <f t="shared" si="88"/>
        <v>0</v>
      </c>
      <c r="EH40" s="128">
        <f t="shared" si="88"/>
        <v>0</v>
      </c>
      <c r="EI40" s="128">
        <f t="shared" si="88"/>
        <v>0</v>
      </c>
      <c r="EJ40" s="128">
        <f t="shared" si="88"/>
        <v>0</v>
      </c>
    </row>
    <row r="41" spans="2:140">
      <c r="B41" s="19"/>
      <c r="C41" s="19"/>
      <c r="D41" s="19"/>
      <c r="E41" s="151"/>
      <c r="F41" s="170"/>
      <c r="G41" s="151"/>
      <c r="H41" s="19"/>
      <c r="J41" s="152"/>
      <c r="K41" s="152"/>
      <c r="L41" s="152"/>
      <c r="M41" s="152"/>
      <c r="N41" s="152"/>
      <c r="O41" s="152"/>
      <c r="P41" s="152"/>
      <c r="Q41" s="152"/>
      <c r="R41" s="152"/>
      <c r="S41" s="152"/>
      <c r="U41" s="152"/>
      <c r="V41" s="152"/>
      <c r="W41" s="152"/>
      <c r="X41" s="152"/>
      <c r="Y41" s="152"/>
      <c r="Z41" s="152"/>
      <c r="AA41" s="152"/>
      <c r="AB41" s="152"/>
      <c r="AC41" s="152"/>
      <c r="AD41" s="152"/>
      <c r="AF41" s="165"/>
      <c r="AG41" s="165"/>
      <c r="AH41" s="165"/>
      <c r="AI41" s="165"/>
      <c r="AJ41" s="165"/>
      <c r="AK41" s="165"/>
      <c r="AL41" s="165"/>
      <c r="AM41" s="165"/>
      <c r="AN41" s="165"/>
      <c r="AO41" s="165"/>
      <c r="AQ41" s="152"/>
      <c r="AR41" s="152"/>
      <c r="AS41" s="152"/>
      <c r="AT41" s="152"/>
      <c r="AU41" s="152"/>
      <c r="AV41" s="152"/>
      <c r="AW41" s="152"/>
      <c r="AX41" s="152"/>
      <c r="AY41" s="152"/>
      <c r="AZ41" s="152"/>
      <c r="BB41" s="152"/>
      <c r="BC41" s="152"/>
      <c r="BD41" s="152"/>
      <c r="BE41" s="152"/>
      <c r="BF41" s="152"/>
      <c r="BG41" s="152"/>
      <c r="BH41" s="152"/>
      <c r="BI41" s="152"/>
      <c r="BJ41" s="152"/>
      <c r="BK41" s="152"/>
      <c r="BM41" s="152">
        <f t="shared" si="87"/>
        <v>0</v>
      </c>
      <c r="BN41" s="152">
        <f t="shared" si="87"/>
        <v>0</v>
      </c>
      <c r="BO41" s="152">
        <f t="shared" si="87"/>
        <v>0</v>
      </c>
      <c r="BP41" s="152">
        <f t="shared" si="87"/>
        <v>0</v>
      </c>
      <c r="BQ41" s="152">
        <f t="shared" si="87"/>
        <v>0</v>
      </c>
      <c r="BR41" s="152">
        <f t="shared" si="87"/>
        <v>0</v>
      </c>
      <c r="BS41" s="152">
        <f t="shared" si="87"/>
        <v>0</v>
      </c>
      <c r="BT41" s="152">
        <f t="shared" si="87"/>
        <v>0</v>
      </c>
      <c r="BU41" s="152">
        <f t="shared" si="87"/>
        <v>0</v>
      </c>
      <c r="BV41" s="152">
        <f t="shared" si="87"/>
        <v>0</v>
      </c>
      <c r="BX41" s="160"/>
      <c r="BY41" s="159"/>
      <c r="BZ41" s="159"/>
      <c r="CA41" s="159"/>
      <c r="CB41" s="159"/>
      <c r="CC41" s="159"/>
      <c r="CD41" s="159"/>
      <c r="CE41" s="159"/>
      <c r="CF41" s="159"/>
      <c r="CG41" s="159"/>
      <c r="CI41" s="128">
        <f t="shared" si="72"/>
        <v>0</v>
      </c>
      <c r="CJ41" s="128">
        <f t="shared" si="72"/>
        <v>0</v>
      </c>
      <c r="CK41" s="128">
        <f t="shared" si="72"/>
        <v>0</v>
      </c>
      <c r="CL41" s="128">
        <f t="shared" si="72"/>
        <v>0</v>
      </c>
      <c r="CM41" s="128">
        <f t="shared" si="72"/>
        <v>0</v>
      </c>
      <c r="CN41" s="128">
        <f t="shared" si="72"/>
        <v>0</v>
      </c>
      <c r="CO41" s="128">
        <f t="shared" si="72"/>
        <v>0</v>
      </c>
      <c r="CP41" s="128">
        <f t="shared" si="72"/>
        <v>0</v>
      </c>
      <c r="CQ41" s="128">
        <f t="shared" si="72"/>
        <v>0</v>
      </c>
      <c r="CR41" s="128">
        <f t="shared" si="72"/>
        <v>0</v>
      </c>
      <c r="CT41" s="152">
        <f t="shared" si="73"/>
        <v>0</v>
      </c>
      <c r="CU41" s="152">
        <f t="shared" si="73"/>
        <v>0</v>
      </c>
      <c r="CV41" s="152">
        <f t="shared" si="73"/>
        <v>0</v>
      </c>
      <c r="CW41" s="152">
        <f t="shared" si="73"/>
        <v>0</v>
      </c>
      <c r="CX41" s="152">
        <f t="shared" si="73"/>
        <v>0</v>
      </c>
      <c r="CY41" s="152">
        <f t="shared" si="73"/>
        <v>0</v>
      </c>
      <c r="CZ41" s="152">
        <f t="shared" si="73"/>
        <v>0</v>
      </c>
      <c r="DA41" s="152">
        <f t="shared" si="73"/>
        <v>0</v>
      </c>
      <c r="DB41" s="152">
        <f t="shared" si="73"/>
        <v>0</v>
      </c>
      <c r="DC41" s="152">
        <f t="shared" si="73"/>
        <v>0</v>
      </c>
      <c r="DE41" s="154">
        <f t="shared" si="86"/>
        <v>0</v>
      </c>
      <c r="DF41" s="154">
        <f t="shared" si="86"/>
        <v>0</v>
      </c>
      <c r="DG41" s="154">
        <f t="shared" si="86"/>
        <v>0</v>
      </c>
      <c r="DH41" s="154">
        <f t="shared" si="86"/>
        <v>0</v>
      </c>
      <c r="DI41" s="154">
        <f t="shared" si="86"/>
        <v>0</v>
      </c>
      <c r="DJ41" s="154">
        <f t="shared" si="86"/>
        <v>0</v>
      </c>
      <c r="DK41" s="154">
        <f t="shared" si="86"/>
        <v>0</v>
      </c>
      <c r="DL41" s="154">
        <f t="shared" si="86"/>
        <v>0</v>
      </c>
      <c r="DM41" s="154">
        <f t="shared" si="86"/>
        <v>0</v>
      </c>
      <c r="DN41" s="154">
        <f t="shared" si="86"/>
        <v>0</v>
      </c>
      <c r="DP41" s="154"/>
      <c r="DQ41" s="154"/>
      <c r="DR41" s="127"/>
      <c r="DS41" s="127"/>
      <c r="DT41" s="127"/>
      <c r="DU41" s="127"/>
      <c r="DV41" s="127"/>
      <c r="DW41" s="127"/>
      <c r="DX41" s="127"/>
      <c r="DY41" s="127"/>
      <c r="EA41" s="20">
        <f t="shared" si="32"/>
        <v>0</v>
      </c>
      <c r="EB41" s="20">
        <f t="shared" si="32"/>
        <v>0</v>
      </c>
      <c r="EC41" s="128">
        <f t="shared" si="32"/>
        <v>0</v>
      </c>
      <c r="ED41" s="128">
        <f t="shared" si="32"/>
        <v>0</v>
      </c>
      <c r="EE41" s="128">
        <f t="shared" si="88"/>
        <v>0</v>
      </c>
      <c r="EF41" s="128">
        <f t="shared" si="88"/>
        <v>0</v>
      </c>
      <c r="EG41" s="128">
        <f t="shared" si="88"/>
        <v>0</v>
      </c>
      <c r="EH41" s="128">
        <f t="shared" si="88"/>
        <v>0</v>
      </c>
      <c r="EI41" s="128">
        <f t="shared" si="88"/>
        <v>0</v>
      </c>
      <c r="EJ41" s="128">
        <f t="shared" si="88"/>
        <v>0</v>
      </c>
    </row>
    <row r="42" spans="2:140">
      <c r="B42" s="19"/>
      <c r="C42" s="19"/>
      <c r="D42" s="19"/>
      <c r="E42" s="151"/>
      <c r="F42" s="170"/>
      <c r="G42" s="151"/>
      <c r="H42" s="19"/>
      <c r="J42" s="152"/>
      <c r="K42" s="152"/>
      <c r="L42" s="152"/>
      <c r="M42" s="152"/>
      <c r="N42" s="152"/>
      <c r="O42" s="152"/>
      <c r="P42" s="152"/>
      <c r="Q42" s="152"/>
      <c r="R42" s="152"/>
      <c r="S42" s="152"/>
      <c r="U42" s="152"/>
      <c r="V42" s="152"/>
      <c r="W42" s="152"/>
      <c r="X42" s="152"/>
      <c r="Y42" s="152"/>
      <c r="Z42" s="152"/>
      <c r="AA42" s="152"/>
      <c r="AB42" s="152"/>
      <c r="AC42" s="152"/>
      <c r="AD42" s="152"/>
      <c r="AF42" s="165"/>
      <c r="AG42" s="165"/>
      <c r="AH42" s="165"/>
      <c r="AI42" s="165"/>
      <c r="AJ42" s="165"/>
      <c r="AK42" s="165"/>
      <c r="AL42" s="165"/>
      <c r="AM42" s="165"/>
      <c r="AN42" s="165"/>
      <c r="AO42" s="165"/>
      <c r="AQ42" s="152"/>
      <c r="AR42" s="152"/>
      <c r="AS42" s="152"/>
      <c r="AT42" s="152"/>
      <c r="AU42" s="152"/>
      <c r="AV42" s="152"/>
      <c r="AW42" s="152"/>
      <c r="AX42" s="152"/>
      <c r="AY42" s="152"/>
      <c r="AZ42" s="152"/>
      <c r="BB42" s="152"/>
      <c r="BC42" s="152"/>
      <c r="BD42" s="152"/>
      <c r="BE42" s="152"/>
      <c r="BF42" s="152"/>
      <c r="BG42" s="152"/>
      <c r="BH42" s="152"/>
      <c r="BI42" s="152"/>
      <c r="BJ42" s="152"/>
      <c r="BK42" s="152"/>
      <c r="BM42" s="152">
        <f t="shared" si="87"/>
        <v>0</v>
      </c>
      <c r="BN42" s="152">
        <f t="shared" si="87"/>
        <v>0</v>
      </c>
      <c r="BO42" s="152">
        <f t="shared" si="87"/>
        <v>0</v>
      </c>
      <c r="BP42" s="152">
        <f t="shared" si="87"/>
        <v>0</v>
      </c>
      <c r="BQ42" s="152">
        <f t="shared" si="87"/>
        <v>0</v>
      </c>
      <c r="BR42" s="152">
        <f t="shared" si="87"/>
        <v>0</v>
      </c>
      <c r="BS42" s="152">
        <f t="shared" si="87"/>
        <v>0</v>
      </c>
      <c r="BT42" s="152">
        <f t="shared" si="87"/>
        <v>0</v>
      </c>
      <c r="BU42" s="152">
        <f t="shared" si="87"/>
        <v>0</v>
      </c>
      <c r="BV42" s="152">
        <f t="shared" si="87"/>
        <v>0</v>
      </c>
      <c r="BX42" s="160"/>
      <c r="BY42" s="159"/>
      <c r="BZ42" s="159"/>
      <c r="CA42" s="159"/>
      <c r="CB42" s="159"/>
      <c r="CC42" s="159"/>
      <c r="CD42" s="159"/>
      <c r="CE42" s="159"/>
      <c r="CF42" s="159"/>
      <c r="CG42" s="159"/>
      <c r="CI42" s="128">
        <f t="shared" si="72"/>
        <v>0</v>
      </c>
      <c r="CJ42" s="128">
        <f t="shared" si="72"/>
        <v>0</v>
      </c>
      <c r="CK42" s="128">
        <f t="shared" si="72"/>
        <v>0</v>
      </c>
      <c r="CL42" s="128">
        <f t="shared" si="72"/>
        <v>0</v>
      </c>
      <c r="CM42" s="128">
        <f t="shared" si="72"/>
        <v>0</v>
      </c>
      <c r="CN42" s="128">
        <f t="shared" si="72"/>
        <v>0</v>
      </c>
      <c r="CO42" s="128">
        <f t="shared" si="72"/>
        <v>0</v>
      </c>
      <c r="CP42" s="128">
        <f t="shared" si="72"/>
        <v>0</v>
      </c>
      <c r="CQ42" s="128">
        <f t="shared" si="72"/>
        <v>0</v>
      </c>
      <c r="CR42" s="128">
        <f t="shared" si="72"/>
        <v>0</v>
      </c>
      <c r="CT42" s="152">
        <f t="shared" si="73"/>
        <v>0</v>
      </c>
      <c r="CU42" s="152">
        <f t="shared" si="73"/>
        <v>0</v>
      </c>
      <c r="CV42" s="152">
        <f t="shared" si="73"/>
        <v>0</v>
      </c>
      <c r="CW42" s="152">
        <f t="shared" si="73"/>
        <v>0</v>
      </c>
      <c r="CX42" s="152">
        <f t="shared" si="73"/>
        <v>0</v>
      </c>
      <c r="CY42" s="152">
        <f t="shared" si="73"/>
        <v>0</v>
      </c>
      <c r="CZ42" s="152">
        <f t="shared" si="73"/>
        <v>0</v>
      </c>
      <c r="DA42" s="152">
        <f t="shared" si="73"/>
        <v>0</v>
      </c>
      <c r="DB42" s="152">
        <f t="shared" si="73"/>
        <v>0</v>
      </c>
      <c r="DC42" s="152">
        <f t="shared" si="73"/>
        <v>0</v>
      </c>
      <c r="DE42" s="154">
        <f t="shared" si="86"/>
        <v>0</v>
      </c>
      <c r="DF42" s="154">
        <f t="shared" si="86"/>
        <v>0</v>
      </c>
      <c r="DG42" s="154">
        <f t="shared" si="86"/>
        <v>0</v>
      </c>
      <c r="DH42" s="154">
        <f t="shared" si="86"/>
        <v>0</v>
      </c>
      <c r="DI42" s="154">
        <f t="shared" si="86"/>
        <v>0</v>
      </c>
      <c r="DJ42" s="154">
        <f t="shared" si="86"/>
        <v>0</v>
      </c>
      <c r="DK42" s="154">
        <f t="shared" si="86"/>
        <v>0</v>
      </c>
      <c r="DL42" s="154">
        <f t="shared" si="86"/>
        <v>0</v>
      </c>
      <c r="DM42" s="154">
        <f t="shared" si="86"/>
        <v>0</v>
      </c>
      <c r="DN42" s="154">
        <f t="shared" si="86"/>
        <v>0</v>
      </c>
      <c r="DP42" s="154"/>
      <c r="DQ42" s="154"/>
      <c r="DR42" s="127"/>
      <c r="DS42" s="127"/>
      <c r="DT42" s="127"/>
      <c r="DU42" s="127"/>
      <c r="DV42" s="127"/>
      <c r="DW42" s="127"/>
      <c r="DX42" s="127"/>
      <c r="DY42" s="127"/>
      <c r="EA42" s="20">
        <f t="shared" si="32"/>
        <v>0</v>
      </c>
      <c r="EB42" s="20">
        <f t="shared" si="32"/>
        <v>0</v>
      </c>
      <c r="EC42" s="128">
        <f t="shared" si="32"/>
        <v>0</v>
      </c>
      <c r="ED42" s="128">
        <f t="shared" si="32"/>
        <v>0</v>
      </c>
      <c r="EE42" s="128">
        <f t="shared" si="88"/>
        <v>0</v>
      </c>
      <c r="EF42" s="128">
        <f t="shared" si="88"/>
        <v>0</v>
      </c>
      <c r="EG42" s="128">
        <f t="shared" si="88"/>
        <v>0</v>
      </c>
      <c r="EH42" s="128">
        <f t="shared" si="88"/>
        <v>0</v>
      </c>
      <c r="EI42" s="128">
        <f t="shared" si="88"/>
        <v>0</v>
      </c>
      <c r="EJ42" s="128">
        <f t="shared" si="88"/>
        <v>0</v>
      </c>
    </row>
    <row r="43" spans="2:140">
      <c r="B43" s="19"/>
      <c r="C43" s="19"/>
      <c r="D43" s="19"/>
      <c r="E43" s="151"/>
      <c r="F43" s="170"/>
      <c r="G43" s="151"/>
      <c r="H43" s="19"/>
      <c r="J43" s="152"/>
      <c r="K43" s="152"/>
      <c r="L43" s="152"/>
      <c r="M43" s="152"/>
      <c r="N43" s="152"/>
      <c r="O43" s="152"/>
      <c r="P43" s="152"/>
      <c r="Q43" s="152"/>
      <c r="R43" s="152"/>
      <c r="S43" s="152"/>
      <c r="U43" s="152"/>
      <c r="V43" s="152"/>
      <c r="W43" s="152"/>
      <c r="X43" s="152"/>
      <c r="Y43" s="152"/>
      <c r="Z43" s="152"/>
      <c r="AA43" s="152"/>
      <c r="AB43" s="152"/>
      <c r="AC43" s="152"/>
      <c r="AD43" s="152"/>
      <c r="AF43" s="165"/>
      <c r="AG43" s="165"/>
      <c r="AH43" s="165"/>
      <c r="AI43" s="165"/>
      <c r="AJ43" s="165"/>
      <c r="AK43" s="165"/>
      <c r="AL43" s="165"/>
      <c r="AM43" s="165"/>
      <c r="AN43" s="165"/>
      <c r="AO43" s="165"/>
      <c r="AQ43" s="152"/>
      <c r="AR43" s="152"/>
      <c r="AS43" s="152"/>
      <c r="AT43" s="152"/>
      <c r="AU43" s="152"/>
      <c r="AV43" s="152"/>
      <c r="AW43" s="152"/>
      <c r="AX43" s="152"/>
      <c r="AY43" s="152"/>
      <c r="AZ43" s="152"/>
      <c r="BB43" s="152"/>
      <c r="BC43" s="152"/>
      <c r="BD43" s="152"/>
      <c r="BE43" s="152"/>
      <c r="BF43" s="152"/>
      <c r="BG43" s="152"/>
      <c r="BH43" s="152"/>
      <c r="BI43" s="152"/>
      <c r="BJ43" s="152"/>
      <c r="BK43" s="152"/>
      <c r="BM43" s="152">
        <f t="shared" si="87"/>
        <v>0</v>
      </c>
      <c r="BN43" s="152">
        <f t="shared" si="87"/>
        <v>0</v>
      </c>
      <c r="BO43" s="152">
        <f t="shared" si="87"/>
        <v>0</v>
      </c>
      <c r="BP43" s="152">
        <f t="shared" si="87"/>
        <v>0</v>
      </c>
      <c r="BQ43" s="152">
        <f t="shared" si="87"/>
        <v>0</v>
      </c>
      <c r="BR43" s="152">
        <f t="shared" si="87"/>
        <v>0</v>
      </c>
      <c r="BS43" s="152">
        <f t="shared" si="87"/>
        <v>0</v>
      </c>
      <c r="BT43" s="152">
        <f t="shared" si="87"/>
        <v>0</v>
      </c>
      <c r="BU43" s="152">
        <f t="shared" si="87"/>
        <v>0</v>
      </c>
      <c r="BV43" s="152">
        <f t="shared" si="87"/>
        <v>0</v>
      </c>
      <c r="BX43" s="160"/>
      <c r="BY43" s="159"/>
      <c r="BZ43" s="159"/>
      <c r="CA43" s="159"/>
      <c r="CB43" s="159"/>
      <c r="CC43" s="159"/>
      <c r="CD43" s="159"/>
      <c r="CE43" s="159"/>
      <c r="CF43" s="159"/>
      <c r="CG43" s="159"/>
      <c r="CI43" s="128">
        <f t="shared" si="72"/>
        <v>0</v>
      </c>
      <c r="CJ43" s="128">
        <f t="shared" si="72"/>
        <v>0</v>
      </c>
      <c r="CK43" s="128">
        <f t="shared" si="72"/>
        <v>0</v>
      </c>
      <c r="CL43" s="128">
        <f t="shared" si="72"/>
        <v>0</v>
      </c>
      <c r="CM43" s="128">
        <f t="shared" si="72"/>
        <v>0</v>
      </c>
      <c r="CN43" s="128">
        <f t="shared" si="72"/>
        <v>0</v>
      </c>
      <c r="CO43" s="128">
        <f t="shared" si="72"/>
        <v>0</v>
      </c>
      <c r="CP43" s="128">
        <f t="shared" si="72"/>
        <v>0</v>
      </c>
      <c r="CQ43" s="128">
        <f t="shared" si="72"/>
        <v>0</v>
      </c>
      <c r="CR43" s="128">
        <f t="shared" si="72"/>
        <v>0</v>
      </c>
      <c r="CT43" s="152">
        <f t="shared" si="73"/>
        <v>0</v>
      </c>
      <c r="CU43" s="152">
        <f t="shared" si="73"/>
        <v>0</v>
      </c>
      <c r="CV43" s="152">
        <f t="shared" si="73"/>
        <v>0</v>
      </c>
      <c r="CW43" s="152">
        <f t="shared" si="73"/>
        <v>0</v>
      </c>
      <c r="CX43" s="152">
        <f t="shared" si="73"/>
        <v>0</v>
      </c>
      <c r="CY43" s="152">
        <f t="shared" si="73"/>
        <v>0</v>
      </c>
      <c r="CZ43" s="152">
        <f t="shared" si="73"/>
        <v>0</v>
      </c>
      <c r="DA43" s="152">
        <f t="shared" si="73"/>
        <v>0</v>
      </c>
      <c r="DB43" s="152">
        <f t="shared" si="73"/>
        <v>0</v>
      </c>
      <c r="DC43" s="152">
        <f t="shared" si="73"/>
        <v>0</v>
      </c>
      <c r="DE43" s="154">
        <f t="shared" si="86"/>
        <v>0</v>
      </c>
      <c r="DF43" s="154">
        <f t="shared" si="86"/>
        <v>0</v>
      </c>
      <c r="DG43" s="154">
        <f t="shared" si="86"/>
        <v>0</v>
      </c>
      <c r="DH43" s="154">
        <f t="shared" si="86"/>
        <v>0</v>
      </c>
      <c r="DI43" s="154">
        <f t="shared" si="86"/>
        <v>0</v>
      </c>
      <c r="DJ43" s="154">
        <f t="shared" si="86"/>
        <v>0</v>
      </c>
      <c r="DK43" s="154">
        <f t="shared" si="86"/>
        <v>0</v>
      </c>
      <c r="DL43" s="154">
        <f t="shared" si="86"/>
        <v>0</v>
      </c>
      <c r="DM43" s="154">
        <f t="shared" si="86"/>
        <v>0</v>
      </c>
      <c r="DN43" s="154">
        <f t="shared" si="86"/>
        <v>0</v>
      </c>
      <c r="DP43" s="154"/>
      <c r="DQ43" s="154"/>
      <c r="DR43" s="127"/>
      <c r="DS43" s="127"/>
      <c r="DT43" s="127"/>
      <c r="DU43" s="127"/>
      <c r="DV43" s="127"/>
      <c r="DW43" s="127"/>
      <c r="DX43" s="127"/>
      <c r="DY43" s="127"/>
      <c r="EA43" s="20">
        <f t="shared" si="32"/>
        <v>0</v>
      </c>
      <c r="EB43" s="20">
        <f t="shared" si="32"/>
        <v>0</v>
      </c>
      <c r="EC43" s="128">
        <f t="shared" si="32"/>
        <v>0</v>
      </c>
      <c r="ED43" s="128">
        <f t="shared" si="32"/>
        <v>0</v>
      </c>
      <c r="EE43" s="128">
        <f t="shared" si="88"/>
        <v>0</v>
      </c>
      <c r="EF43" s="128">
        <f t="shared" si="88"/>
        <v>0</v>
      </c>
      <c r="EG43" s="128">
        <f t="shared" si="88"/>
        <v>0</v>
      </c>
      <c r="EH43" s="128">
        <f t="shared" si="88"/>
        <v>0</v>
      </c>
      <c r="EI43" s="128">
        <f t="shared" si="88"/>
        <v>0</v>
      </c>
      <c r="EJ43" s="128">
        <f t="shared" si="88"/>
        <v>0</v>
      </c>
    </row>
    <row r="44" spans="2:140">
      <c r="B44" s="19"/>
      <c r="C44" s="19"/>
      <c r="D44" s="19"/>
      <c r="E44" s="151"/>
      <c r="F44" s="170"/>
      <c r="G44" s="151"/>
      <c r="H44" s="19"/>
      <c r="J44" s="152"/>
      <c r="K44" s="152"/>
      <c r="L44" s="152"/>
      <c r="M44" s="152"/>
      <c r="N44" s="152"/>
      <c r="O44" s="152"/>
      <c r="P44" s="152"/>
      <c r="Q44" s="152"/>
      <c r="R44" s="152"/>
      <c r="S44" s="152"/>
      <c r="U44" s="152"/>
      <c r="V44" s="152"/>
      <c r="W44" s="152"/>
      <c r="X44" s="152"/>
      <c r="Y44" s="152"/>
      <c r="Z44" s="152"/>
      <c r="AA44" s="152"/>
      <c r="AB44" s="152"/>
      <c r="AC44" s="152"/>
      <c r="AD44" s="152"/>
      <c r="AF44" s="165"/>
      <c r="AG44" s="165"/>
      <c r="AH44" s="165"/>
      <c r="AI44" s="165"/>
      <c r="AJ44" s="165"/>
      <c r="AK44" s="165"/>
      <c r="AL44" s="165"/>
      <c r="AM44" s="165"/>
      <c r="AN44" s="165"/>
      <c r="AO44" s="165"/>
      <c r="AQ44" s="152"/>
      <c r="AR44" s="152"/>
      <c r="AS44" s="152"/>
      <c r="AT44" s="152"/>
      <c r="AU44" s="152"/>
      <c r="AV44" s="152"/>
      <c r="AW44" s="152"/>
      <c r="AX44" s="152"/>
      <c r="AY44" s="152"/>
      <c r="AZ44" s="152"/>
      <c r="BB44" s="152"/>
      <c r="BC44" s="152"/>
      <c r="BD44" s="152"/>
      <c r="BE44" s="152"/>
      <c r="BF44" s="152"/>
      <c r="BG44" s="152"/>
      <c r="BH44" s="152"/>
      <c r="BI44" s="152"/>
      <c r="BJ44" s="152"/>
      <c r="BK44" s="152"/>
      <c r="BM44" s="152">
        <f t="shared" si="87"/>
        <v>0</v>
      </c>
      <c r="BN44" s="152">
        <f t="shared" si="87"/>
        <v>0</v>
      </c>
      <c r="BO44" s="152">
        <f t="shared" si="87"/>
        <v>0</v>
      </c>
      <c r="BP44" s="152">
        <f t="shared" si="87"/>
        <v>0</v>
      </c>
      <c r="BQ44" s="152">
        <f t="shared" si="87"/>
        <v>0</v>
      </c>
      <c r="BR44" s="152">
        <f t="shared" si="87"/>
        <v>0</v>
      </c>
      <c r="BS44" s="152">
        <f t="shared" si="87"/>
        <v>0</v>
      </c>
      <c r="BT44" s="152">
        <f t="shared" si="87"/>
        <v>0</v>
      </c>
      <c r="BU44" s="152">
        <f t="shared" si="87"/>
        <v>0</v>
      </c>
      <c r="BV44" s="152">
        <f t="shared" si="87"/>
        <v>0</v>
      </c>
      <c r="BX44" s="160"/>
      <c r="BY44" s="159"/>
      <c r="BZ44" s="159"/>
      <c r="CA44" s="159"/>
      <c r="CB44" s="159"/>
      <c r="CC44" s="159"/>
      <c r="CD44" s="159"/>
      <c r="CE44" s="159"/>
      <c r="CF44" s="159"/>
      <c r="CG44" s="159"/>
      <c r="CI44" s="128">
        <f t="shared" si="72"/>
        <v>0</v>
      </c>
      <c r="CJ44" s="128">
        <f t="shared" si="72"/>
        <v>0</v>
      </c>
      <c r="CK44" s="128">
        <f t="shared" si="72"/>
        <v>0</v>
      </c>
      <c r="CL44" s="128">
        <f t="shared" si="72"/>
        <v>0</v>
      </c>
      <c r="CM44" s="128">
        <f t="shared" si="72"/>
        <v>0</v>
      </c>
      <c r="CN44" s="128">
        <f t="shared" si="72"/>
        <v>0</v>
      </c>
      <c r="CO44" s="128">
        <f t="shared" si="72"/>
        <v>0</v>
      </c>
      <c r="CP44" s="128">
        <f t="shared" si="72"/>
        <v>0</v>
      </c>
      <c r="CQ44" s="128">
        <f t="shared" si="72"/>
        <v>0</v>
      </c>
      <c r="CR44" s="128">
        <f t="shared" si="72"/>
        <v>0</v>
      </c>
      <c r="CT44" s="152">
        <f t="shared" si="73"/>
        <v>0</v>
      </c>
      <c r="CU44" s="152">
        <f t="shared" si="73"/>
        <v>0</v>
      </c>
      <c r="CV44" s="152">
        <f t="shared" si="73"/>
        <v>0</v>
      </c>
      <c r="CW44" s="152">
        <f t="shared" si="73"/>
        <v>0</v>
      </c>
      <c r="CX44" s="152">
        <f t="shared" si="73"/>
        <v>0</v>
      </c>
      <c r="CY44" s="152">
        <f t="shared" si="73"/>
        <v>0</v>
      </c>
      <c r="CZ44" s="152">
        <f t="shared" si="73"/>
        <v>0</v>
      </c>
      <c r="DA44" s="152">
        <f t="shared" si="73"/>
        <v>0</v>
      </c>
      <c r="DB44" s="152">
        <f t="shared" si="73"/>
        <v>0</v>
      </c>
      <c r="DC44" s="152">
        <f t="shared" si="73"/>
        <v>0</v>
      </c>
      <c r="DE44" s="154">
        <f t="shared" si="86"/>
        <v>0</v>
      </c>
      <c r="DF44" s="154">
        <f t="shared" si="86"/>
        <v>0</v>
      </c>
      <c r="DG44" s="154">
        <f t="shared" si="86"/>
        <v>0</v>
      </c>
      <c r="DH44" s="154">
        <f t="shared" si="86"/>
        <v>0</v>
      </c>
      <c r="DI44" s="154">
        <f t="shared" si="86"/>
        <v>0</v>
      </c>
      <c r="DJ44" s="154">
        <f t="shared" si="86"/>
        <v>0</v>
      </c>
      <c r="DK44" s="154">
        <f t="shared" si="86"/>
        <v>0</v>
      </c>
      <c r="DL44" s="154">
        <f t="shared" si="86"/>
        <v>0</v>
      </c>
      <c r="DM44" s="154">
        <f t="shared" si="86"/>
        <v>0</v>
      </c>
      <c r="DN44" s="154">
        <f t="shared" si="86"/>
        <v>0</v>
      </c>
      <c r="DP44" s="154"/>
      <c r="DQ44" s="154"/>
      <c r="DR44" s="127"/>
      <c r="DS44" s="127"/>
      <c r="DT44" s="127"/>
      <c r="DU44" s="127"/>
      <c r="DV44" s="127"/>
      <c r="DW44" s="127"/>
      <c r="DX44" s="127"/>
      <c r="DY44" s="127"/>
      <c r="EA44" s="20">
        <f t="shared" si="32"/>
        <v>0</v>
      </c>
      <c r="EB44" s="20">
        <f t="shared" si="32"/>
        <v>0</v>
      </c>
      <c r="EC44" s="128">
        <f t="shared" si="32"/>
        <v>0</v>
      </c>
      <c r="ED44" s="128">
        <f t="shared" si="32"/>
        <v>0</v>
      </c>
      <c r="EE44" s="128">
        <f t="shared" si="88"/>
        <v>0</v>
      </c>
      <c r="EF44" s="128">
        <f t="shared" si="88"/>
        <v>0</v>
      </c>
      <c r="EG44" s="128">
        <f t="shared" si="88"/>
        <v>0</v>
      </c>
      <c r="EH44" s="128">
        <f t="shared" si="88"/>
        <v>0</v>
      </c>
      <c r="EI44" s="128">
        <f t="shared" si="88"/>
        <v>0</v>
      </c>
      <c r="EJ44" s="128">
        <f t="shared" si="88"/>
        <v>0</v>
      </c>
    </row>
    <row r="45" spans="2:140">
      <c r="B45" s="19"/>
      <c r="C45" s="19"/>
      <c r="D45" s="19"/>
      <c r="E45" s="151"/>
      <c r="F45" s="170"/>
      <c r="G45" s="151"/>
      <c r="H45" s="19"/>
      <c r="J45" s="152"/>
      <c r="K45" s="152"/>
      <c r="L45" s="152"/>
      <c r="M45" s="152"/>
      <c r="N45" s="152"/>
      <c r="O45" s="152"/>
      <c r="P45" s="152"/>
      <c r="Q45" s="152"/>
      <c r="R45" s="152"/>
      <c r="S45" s="152"/>
      <c r="U45" s="152"/>
      <c r="V45" s="152"/>
      <c r="W45" s="152"/>
      <c r="X45" s="152"/>
      <c r="Y45" s="152"/>
      <c r="Z45" s="152"/>
      <c r="AA45" s="152"/>
      <c r="AB45" s="152"/>
      <c r="AC45" s="152"/>
      <c r="AD45" s="152"/>
      <c r="AF45" s="165"/>
      <c r="AG45" s="165"/>
      <c r="AH45" s="165"/>
      <c r="AI45" s="165"/>
      <c r="AJ45" s="165"/>
      <c r="AK45" s="165"/>
      <c r="AL45" s="165"/>
      <c r="AM45" s="165"/>
      <c r="AN45" s="165"/>
      <c r="AO45" s="165"/>
      <c r="AQ45" s="152"/>
      <c r="AR45" s="152"/>
      <c r="AS45" s="152"/>
      <c r="AT45" s="152"/>
      <c r="AU45" s="152"/>
      <c r="AV45" s="152"/>
      <c r="AW45" s="152"/>
      <c r="AX45" s="152"/>
      <c r="AY45" s="152"/>
      <c r="AZ45" s="152"/>
      <c r="BB45" s="152"/>
      <c r="BC45" s="152"/>
      <c r="BD45" s="152"/>
      <c r="BE45" s="152"/>
      <c r="BF45" s="152"/>
      <c r="BG45" s="152"/>
      <c r="BH45" s="152"/>
      <c r="BI45" s="152"/>
      <c r="BJ45" s="152"/>
      <c r="BK45" s="152"/>
      <c r="BM45" s="152">
        <f t="shared" si="87"/>
        <v>0</v>
      </c>
      <c r="BN45" s="152">
        <f t="shared" si="87"/>
        <v>0</v>
      </c>
      <c r="BO45" s="152">
        <f t="shared" si="87"/>
        <v>0</v>
      </c>
      <c r="BP45" s="152">
        <f t="shared" si="87"/>
        <v>0</v>
      </c>
      <c r="BQ45" s="152">
        <f t="shared" si="87"/>
        <v>0</v>
      </c>
      <c r="BR45" s="152">
        <f t="shared" si="87"/>
        <v>0</v>
      </c>
      <c r="BS45" s="152">
        <f t="shared" si="87"/>
        <v>0</v>
      </c>
      <c r="BT45" s="152">
        <f t="shared" si="87"/>
        <v>0</v>
      </c>
      <c r="BU45" s="152">
        <f t="shared" si="87"/>
        <v>0</v>
      </c>
      <c r="BV45" s="152">
        <f t="shared" si="87"/>
        <v>0</v>
      </c>
      <c r="BX45" s="160"/>
      <c r="BY45" s="159"/>
      <c r="BZ45" s="159"/>
      <c r="CA45" s="159"/>
      <c r="CB45" s="159"/>
      <c r="CC45" s="159"/>
      <c r="CD45" s="159"/>
      <c r="CE45" s="159"/>
      <c r="CF45" s="159"/>
      <c r="CG45" s="159"/>
      <c r="CI45" s="128">
        <f t="shared" si="72"/>
        <v>0</v>
      </c>
      <c r="CJ45" s="128">
        <f t="shared" si="72"/>
        <v>0</v>
      </c>
      <c r="CK45" s="128">
        <f t="shared" si="72"/>
        <v>0</v>
      </c>
      <c r="CL45" s="128">
        <f t="shared" si="72"/>
        <v>0</v>
      </c>
      <c r="CM45" s="128">
        <f t="shared" si="72"/>
        <v>0</v>
      </c>
      <c r="CN45" s="128">
        <f t="shared" si="72"/>
        <v>0</v>
      </c>
      <c r="CO45" s="128">
        <f t="shared" si="72"/>
        <v>0</v>
      </c>
      <c r="CP45" s="128">
        <f t="shared" si="72"/>
        <v>0</v>
      </c>
      <c r="CQ45" s="128">
        <f t="shared" si="72"/>
        <v>0</v>
      </c>
      <c r="CR45" s="128">
        <f t="shared" si="72"/>
        <v>0</v>
      </c>
      <c r="CT45" s="152">
        <f t="shared" si="73"/>
        <v>0</v>
      </c>
      <c r="CU45" s="152">
        <f t="shared" si="73"/>
        <v>0</v>
      </c>
      <c r="CV45" s="152">
        <f t="shared" si="73"/>
        <v>0</v>
      </c>
      <c r="CW45" s="152">
        <f t="shared" si="73"/>
        <v>0</v>
      </c>
      <c r="CX45" s="152">
        <f t="shared" si="73"/>
        <v>0</v>
      </c>
      <c r="CY45" s="152">
        <f t="shared" si="73"/>
        <v>0</v>
      </c>
      <c r="CZ45" s="152">
        <f t="shared" si="73"/>
        <v>0</v>
      </c>
      <c r="DA45" s="152">
        <f t="shared" si="73"/>
        <v>0</v>
      </c>
      <c r="DB45" s="152">
        <f t="shared" si="73"/>
        <v>0</v>
      </c>
      <c r="DC45" s="152">
        <f t="shared" si="73"/>
        <v>0</v>
      </c>
      <c r="DE45" s="154">
        <f t="shared" si="86"/>
        <v>0</v>
      </c>
      <c r="DF45" s="154">
        <f t="shared" si="86"/>
        <v>0</v>
      </c>
      <c r="DG45" s="154">
        <f t="shared" si="86"/>
        <v>0</v>
      </c>
      <c r="DH45" s="154">
        <f t="shared" si="86"/>
        <v>0</v>
      </c>
      <c r="DI45" s="154">
        <f t="shared" si="86"/>
        <v>0</v>
      </c>
      <c r="DJ45" s="154">
        <f t="shared" si="86"/>
        <v>0</v>
      </c>
      <c r="DK45" s="154">
        <f t="shared" si="86"/>
        <v>0</v>
      </c>
      <c r="DL45" s="154">
        <f t="shared" si="86"/>
        <v>0</v>
      </c>
      <c r="DM45" s="154">
        <f t="shared" si="86"/>
        <v>0</v>
      </c>
      <c r="DN45" s="154">
        <f t="shared" si="86"/>
        <v>0</v>
      </c>
      <c r="DP45" s="154"/>
      <c r="DQ45" s="154"/>
      <c r="DR45" s="127"/>
      <c r="DS45" s="127"/>
      <c r="DT45" s="127"/>
      <c r="DU45" s="127"/>
      <c r="DV45" s="127"/>
      <c r="DW45" s="127"/>
      <c r="DX45" s="127"/>
      <c r="DY45" s="127"/>
      <c r="EA45" s="20">
        <f t="shared" si="32"/>
        <v>0</v>
      </c>
      <c r="EB45" s="20">
        <f t="shared" si="32"/>
        <v>0</v>
      </c>
      <c r="EC45" s="128">
        <f t="shared" si="32"/>
        <v>0</v>
      </c>
      <c r="ED45" s="128">
        <f t="shared" si="32"/>
        <v>0</v>
      </c>
      <c r="EE45" s="128">
        <f t="shared" si="88"/>
        <v>0</v>
      </c>
      <c r="EF45" s="128">
        <f t="shared" si="88"/>
        <v>0</v>
      </c>
      <c r="EG45" s="128">
        <f t="shared" si="88"/>
        <v>0</v>
      </c>
      <c r="EH45" s="128">
        <f t="shared" si="88"/>
        <v>0</v>
      </c>
      <c r="EI45" s="128">
        <f t="shared" si="88"/>
        <v>0</v>
      </c>
      <c r="EJ45" s="128">
        <f t="shared" si="88"/>
        <v>0</v>
      </c>
    </row>
    <row r="46" spans="2:140">
      <c r="B46" s="19"/>
      <c r="C46" s="19"/>
      <c r="D46" s="19"/>
      <c r="E46" s="151"/>
      <c r="F46" s="170"/>
      <c r="G46" s="151"/>
      <c r="H46" s="19"/>
      <c r="J46" s="152"/>
      <c r="K46" s="152"/>
      <c r="L46" s="152"/>
      <c r="M46" s="152"/>
      <c r="N46" s="152"/>
      <c r="O46" s="152"/>
      <c r="P46" s="152"/>
      <c r="Q46" s="152"/>
      <c r="R46" s="152"/>
      <c r="S46" s="152"/>
      <c r="U46" s="152"/>
      <c r="V46" s="152"/>
      <c r="W46" s="152"/>
      <c r="X46" s="152"/>
      <c r="Y46" s="152"/>
      <c r="Z46" s="152"/>
      <c r="AA46" s="152"/>
      <c r="AB46" s="152"/>
      <c r="AC46" s="152"/>
      <c r="AD46" s="152"/>
      <c r="AF46" s="165"/>
      <c r="AG46" s="165"/>
      <c r="AH46" s="165"/>
      <c r="AI46" s="165"/>
      <c r="AJ46" s="165"/>
      <c r="AK46" s="165"/>
      <c r="AL46" s="165"/>
      <c r="AM46" s="165"/>
      <c r="AN46" s="165"/>
      <c r="AO46" s="165"/>
      <c r="AQ46" s="152"/>
      <c r="AR46" s="152"/>
      <c r="AS46" s="152"/>
      <c r="AT46" s="152"/>
      <c r="AU46" s="152"/>
      <c r="AV46" s="152"/>
      <c r="AW46" s="152"/>
      <c r="AX46" s="152"/>
      <c r="AY46" s="152"/>
      <c r="AZ46" s="152"/>
      <c r="BB46" s="152"/>
      <c r="BC46" s="152"/>
      <c r="BD46" s="152"/>
      <c r="BE46" s="152"/>
      <c r="BF46" s="152"/>
      <c r="BG46" s="152"/>
      <c r="BH46" s="152"/>
      <c r="BI46" s="152"/>
      <c r="BJ46" s="152"/>
      <c r="BK46" s="152"/>
      <c r="BM46" s="152">
        <f t="shared" si="87"/>
        <v>0</v>
      </c>
      <c r="BN46" s="152">
        <f t="shared" si="87"/>
        <v>0</v>
      </c>
      <c r="BO46" s="152">
        <f t="shared" si="87"/>
        <v>0</v>
      </c>
      <c r="BP46" s="152">
        <f t="shared" si="87"/>
        <v>0</v>
      </c>
      <c r="BQ46" s="152">
        <f t="shared" si="87"/>
        <v>0</v>
      </c>
      <c r="BR46" s="152">
        <f t="shared" si="87"/>
        <v>0</v>
      </c>
      <c r="BS46" s="152">
        <f t="shared" si="87"/>
        <v>0</v>
      </c>
      <c r="BT46" s="152">
        <f t="shared" si="87"/>
        <v>0</v>
      </c>
      <c r="BU46" s="152">
        <f t="shared" si="87"/>
        <v>0</v>
      </c>
      <c r="BV46" s="152">
        <f t="shared" si="87"/>
        <v>0</v>
      </c>
      <c r="BX46" s="160"/>
      <c r="BY46" s="159"/>
      <c r="BZ46" s="159"/>
      <c r="CA46" s="159"/>
      <c r="CB46" s="159"/>
      <c r="CC46" s="159"/>
      <c r="CD46" s="159"/>
      <c r="CE46" s="159"/>
      <c r="CF46" s="159"/>
      <c r="CG46" s="159"/>
      <c r="CI46" s="128">
        <f t="shared" si="72"/>
        <v>0</v>
      </c>
      <c r="CJ46" s="128">
        <f t="shared" si="72"/>
        <v>0</v>
      </c>
      <c r="CK46" s="128">
        <f t="shared" si="72"/>
        <v>0</v>
      </c>
      <c r="CL46" s="128">
        <f t="shared" si="72"/>
        <v>0</v>
      </c>
      <c r="CM46" s="128">
        <f t="shared" si="72"/>
        <v>0</v>
      </c>
      <c r="CN46" s="128">
        <f t="shared" si="72"/>
        <v>0</v>
      </c>
      <c r="CO46" s="128">
        <f t="shared" si="72"/>
        <v>0</v>
      </c>
      <c r="CP46" s="128">
        <f t="shared" si="72"/>
        <v>0</v>
      </c>
      <c r="CQ46" s="128">
        <f t="shared" si="72"/>
        <v>0</v>
      </c>
      <c r="CR46" s="128">
        <f t="shared" si="72"/>
        <v>0</v>
      </c>
      <c r="CT46" s="152">
        <f t="shared" si="73"/>
        <v>0</v>
      </c>
      <c r="CU46" s="152">
        <f t="shared" si="73"/>
        <v>0</v>
      </c>
      <c r="CV46" s="152">
        <f t="shared" si="73"/>
        <v>0</v>
      </c>
      <c r="CW46" s="152">
        <f t="shared" si="73"/>
        <v>0</v>
      </c>
      <c r="CX46" s="152">
        <f t="shared" si="73"/>
        <v>0</v>
      </c>
      <c r="CY46" s="152">
        <f t="shared" si="73"/>
        <v>0</v>
      </c>
      <c r="CZ46" s="152">
        <f t="shared" si="73"/>
        <v>0</v>
      </c>
      <c r="DA46" s="152">
        <f t="shared" si="73"/>
        <v>0</v>
      </c>
      <c r="DB46" s="152">
        <f t="shared" si="73"/>
        <v>0</v>
      </c>
      <c r="DC46" s="152">
        <f t="shared" si="73"/>
        <v>0</v>
      </c>
      <c r="DE46" s="154">
        <f t="shared" si="86"/>
        <v>0</v>
      </c>
      <c r="DF46" s="154">
        <f t="shared" si="86"/>
        <v>0</v>
      </c>
      <c r="DG46" s="154">
        <f t="shared" si="86"/>
        <v>0</v>
      </c>
      <c r="DH46" s="154">
        <f t="shared" si="86"/>
        <v>0</v>
      </c>
      <c r="DI46" s="154">
        <f t="shared" si="86"/>
        <v>0</v>
      </c>
      <c r="DJ46" s="154">
        <f t="shared" si="86"/>
        <v>0</v>
      </c>
      <c r="DK46" s="154">
        <f t="shared" si="86"/>
        <v>0</v>
      </c>
      <c r="DL46" s="154">
        <f t="shared" si="86"/>
        <v>0</v>
      </c>
      <c r="DM46" s="154">
        <f t="shared" si="86"/>
        <v>0</v>
      </c>
      <c r="DN46" s="154">
        <f t="shared" si="86"/>
        <v>0</v>
      </c>
      <c r="DP46" s="154"/>
      <c r="DQ46" s="154"/>
      <c r="DR46" s="127"/>
      <c r="DS46" s="127"/>
      <c r="DT46" s="127"/>
      <c r="DU46" s="127"/>
      <c r="DV46" s="127"/>
      <c r="DW46" s="127"/>
      <c r="DX46" s="127"/>
      <c r="DY46" s="127"/>
      <c r="EA46" s="20">
        <f t="shared" si="32"/>
        <v>0</v>
      </c>
      <c r="EB46" s="20">
        <f t="shared" si="32"/>
        <v>0</v>
      </c>
      <c r="EC46" s="128">
        <f t="shared" si="32"/>
        <v>0</v>
      </c>
      <c r="ED46" s="128">
        <f t="shared" si="32"/>
        <v>0</v>
      </c>
      <c r="EE46" s="128">
        <f t="shared" si="88"/>
        <v>0</v>
      </c>
      <c r="EF46" s="128">
        <f t="shared" si="88"/>
        <v>0</v>
      </c>
      <c r="EG46" s="128">
        <f t="shared" si="88"/>
        <v>0</v>
      </c>
      <c r="EH46" s="128">
        <f t="shared" si="88"/>
        <v>0</v>
      </c>
      <c r="EI46" s="128">
        <f t="shared" si="88"/>
        <v>0</v>
      </c>
      <c r="EJ46" s="128">
        <f t="shared" si="88"/>
        <v>0</v>
      </c>
    </row>
    <row r="47" spans="2:140">
      <c r="B47" s="103"/>
      <c r="C47" s="103"/>
      <c r="D47" s="103"/>
      <c r="E47" s="196"/>
      <c r="F47" s="197"/>
      <c r="G47" s="196"/>
      <c r="H47" s="103"/>
      <c r="J47" s="198"/>
      <c r="K47" s="198"/>
      <c r="L47" s="198"/>
      <c r="M47" s="198"/>
      <c r="N47" s="198"/>
      <c r="O47" s="198"/>
      <c r="P47" s="198"/>
      <c r="Q47" s="198"/>
      <c r="R47" s="198"/>
      <c r="S47" s="198"/>
      <c r="U47" s="198"/>
      <c r="V47" s="198"/>
      <c r="W47" s="198"/>
      <c r="X47" s="198"/>
      <c r="Y47" s="198"/>
      <c r="Z47" s="198"/>
      <c r="AA47" s="198"/>
      <c r="AB47" s="198"/>
      <c r="AC47" s="198"/>
      <c r="AD47" s="198"/>
      <c r="AF47" s="199"/>
      <c r="AG47" s="199"/>
      <c r="AH47" s="199"/>
      <c r="AI47" s="199"/>
      <c r="AJ47" s="199"/>
      <c r="AK47" s="199"/>
      <c r="AL47" s="199"/>
      <c r="AM47" s="199"/>
      <c r="AN47" s="199"/>
      <c r="AO47" s="199"/>
      <c r="AQ47" s="198"/>
      <c r="AR47" s="198"/>
      <c r="AS47" s="198"/>
      <c r="AT47" s="198"/>
      <c r="AU47" s="198"/>
      <c r="AV47" s="198"/>
      <c r="AW47" s="198"/>
      <c r="AX47" s="198"/>
      <c r="AY47" s="198"/>
      <c r="AZ47" s="198"/>
      <c r="BB47" s="198"/>
      <c r="BC47" s="198"/>
      <c r="BD47" s="198"/>
      <c r="BE47" s="198"/>
      <c r="BF47" s="198"/>
      <c r="BG47" s="198"/>
      <c r="BH47" s="198"/>
      <c r="BI47" s="198"/>
      <c r="BJ47" s="198"/>
      <c r="BK47" s="198"/>
      <c r="BM47" s="198">
        <f t="shared" si="87"/>
        <v>0</v>
      </c>
      <c r="BN47" s="198">
        <f t="shared" si="87"/>
        <v>0</v>
      </c>
      <c r="BO47" s="198">
        <f t="shared" si="87"/>
        <v>0</v>
      </c>
      <c r="BP47" s="198">
        <f t="shared" si="87"/>
        <v>0</v>
      </c>
      <c r="BQ47" s="198">
        <f t="shared" si="87"/>
        <v>0</v>
      </c>
      <c r="BR47" s="198">
        <f t="shared" si="87"/>
        <v>0</v>
      </c>
      <c r="BS47" s="198">
        <f t="shared" si="87"/>
        <v>0</v>
      </c>
      <c r="BT47" s="198">
        <f t="shared" si="87"/>
        <v>0</v>
      </c>
      <c r="BU47" s="198">
        <f t="shared" si="87"/>
        <v>0</v>
      </c>
      <c r="BV47" s="198">
        <f t="shared" si="87"/>
        <v>0</v>
      </c>
      <c r="BX47" s="200"/>
      <c r="BY47" s="200"/>
      <c r="BZ47" s="200"/>
      <c r="CA47" s="200"/>
      <c r="CB47" s="200"/>
      <c r="CC47" s="200"/>
      <c r="CD47" s="200"/>
      <c r="CE47" s="200"/>
      <c r="CF47" s="200"/>
      <c r="CG47" s="200"/>
      <c r="CI47" s="128">
        <f t="shared" si="72"/>
        <v>0</v>
      </c>
      <c r="CJ47" s="128">
        <f t="shared" si="72"/>
        <v>0</v>
      </c>
      <c r="CK47" s="128">
        <f t="shared" si="72"/>
        <v>0</v>
      </c>
      <c r="CL47" s="128">
        <f t="shared" si="72"/>
        <v>0</v>
      </c>
      <c r="CM47" s="128">
        <f t="shared" si="72"/>
        <v>0</v>
      </c>
      <c r="CN47" s="128">
        <f t="shared" si="72"/>
        <v>0</v>
      </c>
      <c r="CO47" s="128">
        <f t="shared" si="72"/>
        <v>0</v>
      </c>
      <c r="CP47" s="128">
        <f t="shared" si="72"/>
        <v>0</v>
      </c>
      <c r="CQ47" s="128">
        <f t="shared" si="72"/>
        <v>0</v>
      </c>
      <c r="CR47" s="128">
        <f t="shared" si="72"/>
        <v>0</v>
      </c>
      <c r="CT47" s="198">
        <f t="shared" si="73"/>
        <v>0</v>
      </c>
      <c r="CU47" s="198">
        <f t="shared" si="73"/>
        <v>0</v>
      </c>
      <c r="CV47" s="198">
        <f t="shared" si="73"/>
        <v>0</v>
      </c>
      <c r="CW47" s="198">
        <f t="shared" si="73"/>
        <v>0</v>
      </c>
      <c r="CX47" s="198">
        <f t="shared" si="73"/>
        <v>0</v>
      </c>
      <c r="CY47" s="198">
        <f t="shared" si="73"/>
        <v>0</v>
      </c>
      <c r="CZ47" s="198">
        <f t="shared" si="73"/>
        <v>0</v>
      </c>
      <c r="DA47" s="198">
        <f t="shared" si="73"/>
        <v>0</v>
      </c>
      <c r="DB47" s="198">
        <f t="shared" si="73"/>
        <v>0</v>
      </c>
      <c r="DC47" s="198">
        <f t="shared" si="73"/>
        <v>0</v>
      </c>
      <c r="DE47" s="154">
        <f t="shared" si="86"/>
        <v>0</v>
      </c>
      <c r="DF47" s="154">
        <f t="shared" si="86"/>
        <v>0</v>
      </c>
      <c r="DG47" s="154">
        <f t="shared" si="86"/>
        <v>0</v>
      </c>
      <c r="DH47" s="154">
        <f t="shared" si="86"/>
        <v>0</v>
      </c>
      <c r="DI47" s="154">
        <f t="shared" si="86"/>
        <v>0</v>
      </c>
      <c r="DJ47" s="154">
        <f t="shared" si="86"/>
        <v>0</v>
      </c>
      <c r="DK47" s="154">
        <f t="shared" si="86"/>
        <v>0</v>
      </c>
      <c r="DL47" s="154">
        <f t="shared" si="86"/>
        <v>0</v>
      </c>
      <c r="DM47" s="154">
        <f t="shared" si="86"/>
        <v>0</v>
      </c>
      <c r="DN47" s="154">
        <f t="shared" si="86"/>
        <v>0</v>
      </c>
      <c r="DP47" s="203"/>
      <c r="DQ47" s="203"/>
      <c r="DR47" s="203"/>
      <c r="DS47" s="203"/>
      <c r="DT47" s="203"/>
      <c r="DU47" s="203"/>
      <c r="DV47" s="203"/>
      <c r="DW47" s="203"/>
      <c r="DX47" s="203"/>
      <c r="DY47" s="203"/>
      <c r="EA47" s="202">
        <f t="shared" si="32"/>
        <v>0</v>
      </c>
      <c r="EB47" s="202">
        <f t="shared" si="32"/>
        <v>0</v>
      </c>
      <c r="EC47" s="202">
        <f t="shared" si="32"/>
        <v>0</v>
      </c>
      <c r="ED47" s="202">
        <f t="shared" si="32"/>
        <v>0</v>
      </c>
      <c r="EE47" s="202">
        <f t="shared" si="88"/>
        <v>0</v>
      </c>
      <c r="EF47" s="202">
        <f t="shared" si="88"/>
        <v>0</v>
      </c>
      <c r="EG47" s="202">
        <f t="shared" si="88"/>
        <v>0</v>
      </c>
      <c r="EH47" s="202">
        <f t="shared" si="88"/>
        <v>0</v>
      </c>
      <c r="EI47" s="202">
        <f t="shared" si="88"/>
        <v>0</v>
      </c>
      <c r="EJ47" s="202">
        <f t="shared" si="88"/>
        <v>0</v>
      </c>
    </row>
    <row r="48" spans="2:140" ht="15.75" thickBot="1">
      <c r="B48" s="155" t="s">
        <v>76</v>
      </c>
      <c r="C48" s="155"/>
      <c r="D48" s="155"/>
      <c r="E48" s="126"/>
      <c r="F48" s="126"/>
      <c r="G48" s="126"/>
      <c r="H48" s="155"/>
      <c r="J48" s="155"/>
      <c r="K48" s="155"/>
      <c r="L48" s="155"/>
      <c r="M48" s="155"/>
      <c r="N48" s="155"/>
      <c r="O48" s="155"/>
      <c r="P48" s="155"/>
      <c r="Q48" s="155"/>
      <c r="R48" s="155"/>
      <c r="S48" s="155"/>
      <c r="U48" s="155"/>
      <c r="V48" s="155"/>
      <c r="W48" s="155"/>
      <c r="X48" s="155"/>
      <c r="Y48" s="155"/>
      <c r="Z48" s="155"/>
      <c r="AA48" s="155"/>
      <c r="AB48" s="155"/>
      <c r="AC48" s="155"/>
      <c r="AD48" s="155"/>
      <c r="AF48" s="155"/>
      <c r="AG48" s="155"/>
      <c r="AH48" s="155"/>
      <c r="AI48" s="155"/>
      <c r="AJ48" s="155"/>
      <c r="AK48" s="155"/>
      <c r="AL48" s="155"/>
      <c r="AM48" s="155"/>
      <c r="AN48" s="155"/>
      <c r="AO48" s="155"/>
      <c r="AQ48" s="155"/>
      <c r="AR48" s="155"/>
      <c r="AS48" s="155"/>
      <c r="AT48" s="155"/>
      <c r="AU48" s="155"/>
      <c r="AV48" s="155"/>
      <c r="AW48" s="155"/>
      <c r="AX48" s="155"/>
      <c r="AY48" s="155"/>
      <c r="AZ48" s="155"/>
      <c r="BB48" s="155"/>
      <c r="BC48" s="155"/>
      <c r="BD48" s="155"/>
      <c r="BE48" s="155"/>
      <c r="BF48" s="155"/>
      <c r="BG48" s="155"/>
      <c r="BH48" s="155"/>
      <c r="BI48" s="155"/>
      <c r="BJ48" s="155"/>
      <c r="BK48" s="155"/>
      <c r="BM48" s="156">
        <f t="shared" ref="BM48:BU48" si="89">SUM(BM8:BM47)</f>
        <v>0</v>
      </c>
      <c r="BN48" s="156">
        <f t="shared" si="89"/>
        <v>1426.1360988292399</v>
      </c>
      <c r="BO48" s="156">
        <f t="shared" si="89"/>
        <v>3034.4619445712269</v>
      </c>
      <c r="BP48" s="156">
        <f t="shared" si="89"/>
        <v>9872.2000000000025</v>
      </c>
      <c r="BQ48" s="156">
        <f t="shared" si="89"/>
        <v>20153.120000000003</v>
      </c>
      <c r="BR48" s="156">
        <f t="shared" si="89"/>
        <v>42990.688000000002</v>
      </c>
      <c r="BS48" s="156">
        <f t="shared" si="89"/>
        <v>45298.295015999996</v>
      </c>
      <c r="BT48" s="156">
        <f t="shared" si="89"/>
        <v>47748.973666992002</v>
      </c>
      <c r="BU48" s="156">
        <f t="shared" si="89"/>
        <v>50351.594394345506</v>
      </c>
      <c r="BV48" s="156">
        <f t="shared" ref="BV48" si="90">SUM(BV8:BV47)</f>
        <v>53115.577606794934</v>
      </c>
      <c r="BX48" s="24"/>
      <c r="BY48" s="24"/>
      <c r="BZ48" s="24"/>
      <c r="CA48" s="24"/>
      <c r="CB48" s="24"/>
      <c r="CC48" s="24"/>
      <c r="CD48" s="24"/>
      <c r="CE48" s="24"/>
      <c r="CF48" s="24"/>
      <c r="CG48" s="24"/>
      <c r="CI48" s="24">
        <f t="shared" ref="CI48:CR48" si="91">SUM(CI$8:CI$47)</f>
        <v>0</v>
      </c>
      <c r="CJ48" s="24">
        <f t="shared" si="91"/>
        <v>2000</v>
      </c>
      <c r="CK48" s="24">
        <f t="shared" si="91"/>
        <v>4522.5711040584692</v>
      </c>
      <c r="CL48" s="24">
        <f t="shared" si="91"/>
        <v>15038.735764870704</v>
      </c>
      <c r="CM48" s="24">
        <f t="shared" si="91"/>
        <v>30662.572347738049</v>
      </c>
      <c r="CN48" s="24">
        <f t="shared" si="91"/>
        <v>66171.678965334228</v>
      </c>
      <c r="CO48" s="24">
        <f t="shared" si="91"/>
        <v>72110.025226564234</v>
      </c>
      <c r="CP48" s="24">
        <f t="shared" si="91"/>
        <v>78615.440816558737</v>
      </c>
      <c r="CQ48" s="24">
        <f t="shared" si="91"/>
        <v>85743.397724202659</v>
      </c>
      <c r="CR48" s="24">
        <f t="shared" si="91"/>
        <v>93554.842345842946</v>
      </c>
      <c r="CT48" s="156">
        <f t="shared" ref="CT48:DC48" si="92">SUM(CT$8:CT$47)</f>
        <v>0</v>
      </c>
      <c r="CU48" s="156">
        <f t="shared" si="92"/>
        <v>11.349904288320444</v>
      </c>
      <c r="CV48" s="156">
        <f t="shared" si="92"/>
        <v>27.759178085636702</v>
      </c>
      <c r="CW48" s="156">
        <f t="shared" si="92"/>
        <v>100.39854240000001</v>
      </c>
      <c r="CX48" s="156">
        <f t="shared" si="92"/>
        <v>201.06609639999999</v>
      </c>
      <c r="CY48" s="156">
        <f t="shared" si="92"/>
        <v>462.99831084000004</v>
      </c>
      <c r="CZ48" s="156">
        <f t="shared" si="92"/>
        <v>488.96561906400007</v>
      </c>
      <c r="DA48" s="156">
        <f t="shared" si="92"/>
        <v>516.54290039788805</v>
      </c>
      <c r="DB48" s="156">
        <f t="shared" si="92"/>
        <v>545.82997317447723</v>
      </c>
      <c r="DC48" s="156">
        <f t="shared" si="92"/>
        <v>576.93284446321479</v>
      </c>
      <c r="DE48" s="156"/>
      <c r="DF48" s="156"/>
      <c r="DG48" s="156"/>
      <c r="DH48" s="156"/>
      <c r="DI48" s="156"/>
      <c r="DJ48" s="156"/>
      <c r="DK48" s="156"/>
      <c r="DL48" s="156"/>
      <c r="DM48" s="156"/>
      <c r="DN48" s="156"/>
      <c r="DP48" s="156"/>
      <c r="DQ48" s="156"/>
      <c r="DR48" s="156"/>
      <c r="DS48" s="156"/>
      <c r="DT48" s="156"/>
      <c r="DU48" s="156"/>
      <c r="DV48" s="156"/>
      <c r="DW48" s="156"/>
      <c r="DX48" s="156"/>
      <c r="DY48" s="156"/>
      <c r="EA48" s="24">
        <f t="shared" ref="EA48:EJ48" si="93">SUM(EA$8:EA$47)</f>
        <v>0</v>
      </c>
      <c r="EB48" s="24">
        <f t="shared" si="93"/>
        <v>2013</v>
      </c>
      <c r="EC48" s="24">
        <f t="shared" si="93"/>
        <v>4296.4425488555462</v>
      </c>
      <c r="ED48" s="24">
        <f t="shared" si="93"/>
        <v>13534.862188383633</v>
      </c>
      <c r="EE48" s="24">
        <f t="shared" si="93"/>
        <v>26063.186495577338</v>
      </c>
      <c r="EF48" s="24">
        <f t="shared" si="93"/>
        <v>51613.909592960699</v>
      </c>
      <c r="EG48" s="24">
        <f t="shared" si="93"/>
        <v>54082.518919923168</v>
      </c>
      <c r="EH48" s="24">
        <f t="shared" si="93"/>
        <v>58961.580612419057</v>
      </c>
      <c r="EI48" s="24">
        <f t="shared" si="93"/>
        <v>64307.548293152002</v>
      </c>
      <c r="EJ48" s="24">
        <f t="shared" si="93"/>
        <v>70166.131759382202</v>
      </c>
    </row>
    <row r="50" spans="76:96">
      <c r="CJ50" s="133">
        <f>CJ48-'TUC JV'!E52</f>
        <v>0</v>
      </c>
      <c r="CK50" s="133">
        <f>CK48-'TUC JV'!F52</f>
        <v>0</v>
      </c>
      <c r="CL50" s="133">
        <f>CL48-'TUC JV'!G52</f>
        <v>0</v>
      </c>
      <c r="CM50" s="133">
        <f>CM48-'TUC JV'!H52</f>
        <v>0</v>
      </c>
      <c r="CN50" s="133">
        <f>CN48-'TUC JV'!I52</f>
        <v>0</v>
      </c>
      <c r="CO50" s="133">
        <f>CO48-'TUC JV'!J52</f>
        <v>0</v>
      </c>
      <c r="CP50" s="133">
        <f>CP48-'TUC JV'!K52</f>
        <v>0</v>
      </c>
      <c r="CQ50" s="133">
        <f>CQ48-'TUC JV'!L52</f>
        <v>0</v>
      </c>
      <c r="CR50" s="133">
        <f>CR48-'TUC JV'!M52</f>
        <v>0</v>
      </c>
    </row>
    <row r="52" spans="76:96">
      <c r="BX52" s="129"/>
      <c r="BY52" s="129"/>
      <c r="BZ52" s="129"/>
      <c r="CA52" s="129"/>
      <c r="CB52" s="129"/>
      <c r="CC52" s="129"/>
      <c r="CD52" s="129"/>
      <c r="CE52" s="129"/>
      <c r="CF52" s="129"/>
      <c r="CG52" s="129"/>
    </row>
    <row r="53" spans="76:96">
      <c r="BX53" s="129"/>
      <c r="BY53" s="129"/>
      <c r="BZ53" s="129"/>
      <c r="CA53" s="129"/>
      <c r="CB53" s="129"/>
      <c r="CC53" s="129"/>
      <c r="CD53" s="129"/>
      <c r="CE53" s="129"/>
      <c r="CF53" s="129"/>
      <c r="CG53" s="129"/>
    </row>
    <row r="54" spans="76:96">
      <c r="BX54" s="129"/>
      <c r="BY54" s="129"/>
      <c r="BZ54" s="129"/>
      <c r="CA54" s="129"/>
      <c r="CB54" s="129"/>
      <c r="CC54" s="129"/>
      <c r="CD54" s="129"/>
      <c r="CE54" s="129"/>
      <c r="CF54" s="129"/>
      <c r="CG54" s="129"/>
    </row>
    <row r="55" spans="76:96">
      <c r="BX55" s="129"/>
      <c r="BY55" s="129"/>
      <c r="BZ55" s="129"/>
      <c r="CA55" s="129"/>
      <c r="CB55" s="129"/>
      <c r="CC55" s="129"/>
      <c r="CD55" s="129"/>
      <c r="CE55" s="129"/>
      <c r="CF55" s="129"/>
      <c r="CG55" s="129"/>
    </row>
    <row r="56" spans="76:96">
      <c r="BX56" s="129"/>
      <c r="BY56" s="129"/>
      <c r="BZ56" s="129"/>
      <c r="CA56" s="129"/>
      <c r="CB56" s="129"/>
      <c r="CC56" s="129"/>
      <c r="CD56" s="129"/>
      <c r="CE56" s="129"/>
      <c r="CF56" s="129"/>
      <c r="CG56" s="129"/>
    </row>
    <row r="57" spans="76:96">
      <c r="BX57" s="129"/>
      <c r="BY57" s="129"/>
      <c r="BZ57" s="129"/>
      <c r="CA57" s="129"/>
      <c r="CB57" s="129"/>
      <c r="CC57" s="129"/>
      <c r="CD57" s="129"/>
      <c r="CE57" s="129"/>
      <c r="CF57" s="129"/>
      <c r="CG57" s="129"/>
    </row>
    <row r="58" spans="76:96">
      <c r="BX58" s="129"/>
      <c r="BY58" s="129"/>
      <c r="BZ58" s="129"/>
      <c r="CA58" s="129"/>
      <c r="CB58" s="129"/>
      <c r="CC58" s="129"/>
      <c r="CD58" s="129"/>
      <c r="CE58" s="129"/>
      <c r="CF58" s="129"/>
      <c r="CG58" s="129"/>
    </row>
    <row r="59" spans="76:96">
      <c r="BX59" s="129"/>
      <c r="BY59" s="129"/>
      <c r="BZ59" s="129"/>
      <c r="CA59" s="129"/>
      <c r="CB59" s="129"/>
      <c r="CC59" s="129"/>
      <c r="CD59" s="129"/>
      <c r="CE59" s="129"/>
      <c r="CF59" s="129"/>
      <c r="CG59" s="129"/>
    </row>
    <row r="60" spans="76:96">
      <c r="BX60" s="129"/>
      <c r="BY60" s="129"/>
      <c r="BZ60" s="129"/>
      <c r="CA60" s="129"/>
      <c r="CB60" s="129"/>
      <c r="CC60" s="129"/>
      <c r="CD60" s="129"/>
      <c r="CE60" s="129"/>
      <c r="CF60" s="129"/>
      <c r="CG60" s="129"/>
    </row>
    <row r="61" spans="76:96">
      <c r="BX61" s="129"/>
      <c r="BY61" s="129"/>
      <c r="BZ61" s="129"/>
      <c r="CA61" s="129"/>
      <c r="CB61" s="129"/>
      <c r="CC61" s="129"/>
      <c r="CD61" s="129"/>
      <c r="CE61" s="129"/>
      <c r="CF61" s="129"/>
      <c r="CG61" s="129"/>
    </row>
    <row r="62" spans="76:96">
      <c r="BX62" s="129"/>
      <c r="BY62" s="129"/>
      <c r="BZ62" s="129"/>
      <c r="CA62" s="129"/>
      <c r="CB62" s="129"/>
      <c r="CC62" s="129"/>
      <c r="CD62" s="129"/>
      <c r="CE62" s="129"/>
      <c r="CF62" s="129"/>
      <c r="CG62" s="129"/>
    </row>
    <row r="63" spans="76:96">
      <c r="BX63" s="129"/>
      <c r="BY63" s="129"/>
      <c r="BZ63" s="129"/>
      <c r="CA63" s="129"/>
      <c r="CB63" s="129"/>
      <c r="CC63" s="129"/>
      <c r="CD63" s="129"/>
      <c r="CE63" s="129"/>
      <c r="CF63" s="129"/>
      <c r="CG63" s="129"/>
    </row>
  </sheetData>
  <conditionalFormatting sqref="DE8:DN47">
    <cfRule type="colorScale" priority="2">
      <colorScale>
        <cfvo type="min"/>
        <cfvo type="percentile" val="50"/>
        <cfvo type="max"/>
        <color rgb="FFF4FAF6"/>
        <color rgb="FFFFF4BD"/>
        <color rgb="FFFDCFD0"/>
      </colorScale>
    </cfRule>
  </conditionalFormatting>
  <conditionalFormatting sqref="DE17:DN17">
    <cfRule type="colorScale" priority="1">
      <colorScale>
        <cfvo type="min"/>
        <cfvo type="percentile" val="50"/>
        <cfvo type="max"/>
        <color rgb="FFF4FAF6"/>
        <color rgb="FFFFF4BD"/>
        <color rgb="FFFDCFD0"/>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AE64D-2D99-4F67-AB73-F1139F8165BB}">
  <sheetPr>
    <tabColor theme="9" tint="-0.749992370372631"/>
    <pageSetUpPr fitToPage="1"/>
  </sheetPr>
  <dimension ref="A1:Q53"/>
  <sheetViews>
    <sheetView workbookViewId="0"/>
  </sheetViews>
  <sheetFormatPr defaultColWidth="0" defaultRowHeight="13.5" zeroHeight="1" outlineLevelRow="1"/>
  <cols>
    <col min="1" max="1" width="1.5546875" style="8" customWidth="1"/>
    <col min="2" max="2" width="21.44140625" style="8" bestFit="1" customWidth="1"/>
    <col min="3" max="4" width="10.5546875" style="8" bestFit="1" customWidth="1"/>
    <col min="5" max="6" width="10.44140625" style="8" bestFit="1" customWidth="1"/>
    <col min="7" max="12" width="10.5546875" style="8" bestFit="1" customWidth="1"/>
    <col min="13" max="13" width="1.5546875" style="8" customWidth="1"/>
    <col min="14" max="17" width="0" style="8" hidden="1" customWidth="1"/>
    <col min="18" max="16384" width="8.5546875" style="8" hidden="1"/>
  </cols>
  <sheetData>
    <row r="1" spans="1:16" ht="70.5" customHeight="1">
      <c r="A1" s="452"/>
      <c r="B1" s="10" t="s">
        <v>525</v>
      </c>
      <c r="C1" s="11"/>
      <c r="D1" s="11"/>
      <c r="E1" s="11"/>
      <c r="F1" s="11"/>
      <c r="G1" s="11"/>
      <c r="H1" s="11"/>
      <c r="I1" s="11"/>
      <c r="J1" s="11"/>
      <c r="K1" s="11"/>
      <c r="L1" s="11"/>
      <c r="M1" s="11"/>
      <c r="N1" s="11"/>
      <c r="O1" s="11"/>
      <c r="P1" s="11"/>
    </row>
    <row r="2" spans="1:16"/>
    <row r="3" spans="1:16">
      <c r="B3" s="439" t="s">
        <v>64</v>
      </c>
      <c r="C3" s="440">
        <v>2022</v>
      </c>
      <c r="D3" s="440">
        <f>C3+1</f>
        <v>2023</v>
      </c>
      <c r="E3" s="440">
        <f t="shared" ref="E3:L3" si="0">D3+1</f>
        <v>2024</v>
      </c>
      <c r="F3" s="440">
        <f t="shared" si="0"/>
        <v>2025</v>
      </c>
      <c r="G3" s="440">
        <f t="shared" si="0"/>
        <v>2026</v>
      </c>
      <c r="H3" s="440">
        <f t="shared" si="0"/>
        <v>2027</v>
      </c>
      <c r="I3" s="440">
        <f t="shared" si="0"/>
        <v>2028</v>
      </c>
      <c r="J3" s="440">
        <f t="shared" si="0"/>
        <v>2029</v>
      </c>
      <c r="K3" s="440">
        <f t="shared" si="0"/>
        <v>2030</v>
      </c>
      <c r="L3" s="440">
        <f t="shared" si="0"/>
        <v>2031</v>
      </c>
    </row>
    <row r="4" spans="1:16" ht="3.75" customHeight="1">
      <c r="B4" s="100"/>
    </row>
    <row r="5" spans="1:16" s="15" customFormat="1" ht="15.75" customHeight="1">
      <c r="B5" s="435" t="s">
        <v>66</v>
      </c>
      <c r="C5" s="435"/>
      <c r="D5" s="435"/>
      <c r="E5" s="435"/>
      <c r="F5" s="435"/>
      <c r="G5" s="435"/>
      <c r="H5" s="435"/>
      <c r="I5" s="435"/>
      <c r="J5" s="435"/>
      <c r="K5" s="435"/>
      <c r="L5" s="435"/>
    </row>
    <row r="6" spans="1:16" outlineLevel="1">
      <c r="B6" s="19" t="s">
        <v>562</v>
      </c>
      <c r="C6" s="22"/>
      <c r="D6" s="22">
        <f>_xlfn.XLOOKUP(D$3, 'Nth Bio Revenue &amp; COGS'!$E$3:$M$3, 'Nth Bio Revenue &amp; COGS'!$E$11:$M$11, 0)</f>
        <v>800</v>
      </c>
      <c r="E6" s="20">
        <f>_xlfn.XLOOKUP(E$3, 'Nth Bio Revenue &amp; COGS'!$E$3:$M$3, 'Nth Bio Revenue &amp; COGS'!$E$11:$M$11, 0)</f>
        <v>1600</v>
      </c>
      <c r="F6" s="20">
        <f>_xlfn.XLOOKUP(F$3, 'Nth Bio Revenue &amp; COGS'!$E$3:$M$3, 'Nth Bio Revenue &amp; COGS'!$E$11:$M$11, 0)</f>
        <v>2600</v>
      </c>
      <c r="G6" s="20">
        <f>_xlfn.XLOOKUP(G$3, 'Nth Bio Revenue &amp; COGS'!$E$3:$M$3, 'Nth Bio Revenue &amp; COGS'!$E$11:$M$11, 0)</f>
        <v>3600</v>
      </c>
      <c r="H6" s="20">
        <f>_xlfn.XLOOKUP(H$3, 'Nth Bio Revenue &amp; COGS'!$E$3:$M$3, 'Nth Bio Revenue &amp; COGS'!$E$11:$M$11, 0)</f>
        <v>3780</v>
      </c>
      <c r="I6" s="20">
        <f>_xlfn.XLOOKUP(I$3, 'Nth Bio Revenue &amp; COGS'!$E$3:$M$3, 'Nth Bio Revenue &amp; COGS'!$E$11:$M$11, 0)</f>
        <v>3969</v>
      </c>
      <c r="J6" s="20">
        <f>_xlfn.XLOOKUP(J$3, 'Nth Bio Revenue &amp; COGS'!$E$3:$M$3, 'Nth Bio Revenue &amp; COGS'!$E$11:$M$11, 0)</f>
        <v>4167.45</v>
      </c>
      <c r="K6" s="20">
        <f>_xlfn.XLOOKUP(K$3, 'Nth Bio Revenue &amp; COGS'!$E$3:$M$3, 'Nth Bio Revenue &amp; COGS'!$E$11:$M$11, 0)</f>
        <v>4375.8225000000002</v>
      </c>
      <c r="L6" s="20">
        <f>_xlfn.XLOOKUP(L$3, 'Nth Bio Revenue &amp; COGS'!$E$3:$M$3, 'Nth Bio Revenue &amp; COGS'!$E$11:$M$11, 0)</f>
        <v>4594.6136250000009</v>
      </c>
    </row>
    <row r="7" spans="1:16" outlineLevel="1">
      <c r="B7" s="19" t="s">
        <v>563</v>
      </c>
      <c r="C7" s="22"/>
      <c r="D7" s="22">
        <f>_xlfn.XLOOKUP(D$3, 'Nth Bio Revenue &amp; COGS'!$E$3:$M$3, 'Nth Bio Revenue &amp; COGS'!$E$17:$M$17, 0)</f>
        <v>0</v>
      </c>
      <c r="E7" s="20">
        <f>_xlfn.XLOOKUP(E$3, 'Nth Bio Revenue &amp; COGS'!$E$3:$M$3, 'Nth Bio Revenue &amp; COGS'!$E$17:$M$17, 0)</f>
        <v>400</v>
      </c>
      <c r="F7" s="20">
        <f>_xlfn.XLOOKUP(F$3, 'Nth Bio Revenue &amp; COGS'!$E$3:$M$3, 'Nth Bio Revenue &amp; COGS'!$E$17:$M$17, 0)</f>
        <v>1400</v>
      </c>
      <c r="G7" s="20">
        <f>_xlfn.XLOOKUP(G$3, 'Nth Bio Revenue &amp; COGS'!$E$3:$M$3, 'Nth Bio Revenue &amp; COGS'!$E$17:$M$17, 0)</f>
        <v>4800</v>
      </c>
      <c r="H7" s="20">
        <f>_xlfn.XLOOKUP(H$3, 'Nth Bio Revenue &amp; COGS'!$E$3:$M$3, 'Nth Bio Revenue &amp; COGS'!$E$17:$M$17, 0)</f>
        <v>5040</v>
      </c>
      <c r="I7" s="20">
        <f>_xlfn.XLOOKUP(I$3, 'Nth Bio Revenue &amp; COGS'!$E$3:$M$3, 'Nth Bio Revenue &amp; COGS'!$E$17:$M$17, 0)</f>
        <v>5292</v>
      </c>
      <c r="J7" s="20">
        <f>_xlfn.XLOOKUP(J$3, 'Nth Bio Revenue &amp; COGS'!$E$3:$M$3, 'Nth Bio Revenue &amp; COGS'!$E$17:$M$17, 0)</f>
        <v>5556.6</v>
      </c>
      <c r="K7" s="20">
        <f>_xlfn.XLOOKUP(K$3, 'Nth Bio Revenue &amp; COGS'!$E$3:$M$3, 'Nth Bio Revenue &amp; COGS'!$E$17:$M$17, 0)</f>
        <v>5834.43</v>
      </c>
      <c r="L7" s="20">
        <f>_xlfn.XLOOKUP(L$3, 'Nth Bio Revenue &amp; COGS'!$E$3:$M$3, 'Nth Bio Revenue &amp; COGS'!$E$17:$M$17, 0)</f>
        <v>6126.1515000000009</v>
      </c>
    </row>
    <row r="8" spans="1:16" outlineLevel="1">
      <c r="B8" s="19" t="s">
        <v>564</v>
      </c>
      <c r="C8" s="22"/>
      <c r="D8" s="22">
        <f>_xlfn.XLOOKUP(D$3, 'Nth Bio Revenue &amp; COGS'!$E$3:$M$3, 'Nth Bio Revenue &amp; COGS'!$E$30:$M$30, 0)</f>
        <v>500</v>
      </c>
      <c r="E8" s="20">
        <f>_xlfn.XLOOKUP(E$3, 'Nth Bio Revenue &amp; COGS'!$E$3:$M$3, 'Nth Bio Revenue &amp; COGS'!$E$30:$M$30, 0)</f>
        <v>1816</v>
      </c>
      <c r="F8" s="20">
        <f>_xlfn.XLOOKUP(F$3, 'Nth Bio Revenue &amp; COGS'!$E$3:$M$3, 'Nth Bio Revenue &amp; COGS'!$E$30:$M$30, 0)</f>
        <v>2763.6000000000004</v>
      </c>
      <c r="G8" s="20">
        <f>_xlfn.XLOOKUP(G$3, 'Nth Bio Revenue &amp; COGS'!$E$3:$M$3, 'Nth Bio Revenue &amp; COGS'!$E$30:$M$30, 0)</f>
        <v>3801.4200000000005</v>
      </c>
      <c r="H8" s="20">
        <f>_xlfn.XLOOKUP(H$3, 'Nth Bio Revenue &amp; COGS'!$E$3:$M$3, 'Nth Bio Revenue &amp; COGS'!$E$30:$M$30, 0)</f>
        <v>3991.4910000000009</v>
      </c>
      <c r="I8" s="20">
        <f>_xlfn.XLOOKUP(I$3, 'Nth Bio Revenue &amp; COGS'!$E$3:$M$3, 'Nth Bio Revenue &amp; COGS'!$E$30:$M$30, 0)</f>
        <v>4191.0655500000012</v>
      </c>
      <c r="J8" s="20">
        <f>_xlfn.XLOOKUP(J$3, 'Nth Bio Revenue &amp; COGS'!$E$3:$M$3, 'Nth Bio Revenue &amp; COGS'!$E$30:$M$30, 0)</f>
        <v>4400.6188275000004</v>
      </c>
      <c r="K8" s="20">
        <f>_xlfn.XLOOKUP(K$3, 'Nth Bio Revenue &amp; COGS'!$E$3:$M$3, 'Nth Bio Revenue &amp; COGS'!$E$30:$M$30, 0)</f>
        <v>4620.6497688750014</v>
      </c>
      <c r="L8" s="20">
        <f>_xlfn.XLOOKUP(L$3, 'Nth Bio Revenue &amp; COGS'!$E$3:$M$3, 'Nth Bio Revenue &amp; COGS'!$E$30:$M$30, 0)</f>
        <v>4851.682257318751</v>
      </c>
    </row>
    <row r="9" spans="1:16" outlineLevel="1">
      <c r="B9" s="19" t="s">
        <v>565</v>
      </c>
      <c r="C9" s="22"/>
      <c r="D9" s="22">
        <f>_xlfn.XLOOKUP(D$3, 'Nth Bio Revenue &amp; COGS'!$E$3:$M$3, 'Nth Bio Revenue &amp; COGS'!$E$36:$M$36, 0)</f>
        <v>0</v>
      </c>
      <c r="E9" s="20">
        <f>_xlfn.XLOOKUP(E$3, 'Nth Bio Revenue &amp; COGS'!$E$3:$M$3, 'Nth Bio Revenue &amp; COGS'!$E$36:$M$36, 0)</f>
        <v>408</v>
      </c>
      <c r="F9" s="20">
        <f>_xlfn.XLOOKUP(F$3, 'Nth Bio Revenue &amp; COGS'!$E$3:$M$3, 'Nth Bio Revenue &amp; COGS'!$E$36:$M$36, 0)</f>
        <v>1285.2</v>
      </c>
      <c r="G9" s="20">
        <f>_xlfn.XLOOKUP(G$3, 'Nth Bio Revenue &amp; COGS'!$E$3:$M$3, 'Nth Bio Revenue &amp; COGS'!$E$36:$M$36, 0)</f>
        <v>2249.1000000000004</v>
      </c>
      <c r="H9" s="20">
        <f>_xlfn.XLOOKUP(H$3, 'Nth Bio Revenue &amp; COGS'!$E$3:$M$3, 'Nth Bio Revenue &amp; COGS'!$E$36:$M$36, 0)</f>
        <v>2361.5550000000007</v>
      </c>
      <c r="I9" s="20">
        <f>_xlfn.XLOOKUP(I$3, 'Nth Bio Revenue &amp; COGS'!$E$3:$M$3, 'Nth Bio Revenue &amp; COGS'!$E$36:$M$36, 0)</f>
        <v>2479.6327500000007</v>
      </c>
      <c r="J9" s="20">
        <f>_xlfn.XLOOKUP(J$3, 'Nth Bio Revenue &amp; COGS'!$E$3:$M$3, 'Nth Bio Revenue &amp; COGS'!$E$36:$M$36, 0)</f>
        <v>2603.6143875000007</v>
      </c>
      <c r="K9" s="20">
        <f>_xlfn.XLOOKUP(K$3, 'Nth Bio Revenue &amp; COGS'!$E$3:$M$3, 'Nth Bio Revenue &amp; COGS'!$E$36:$M$36, 0)</f>
        <v>2733.7951068750008</v>
      </c>
      <c r="L9" s="20">
        <f>_xlfn.XLOOKUP(L$3, 'Nth Bio Revenue &amp; COGS'!$E$3:$M$3, 'Nth Bio Revenue &amp; COGS'!$E$36:$M$36, 0)</f>
        <v>2870.484862218751</v>
      </c>
    </row>
    <row r="10" spans="1:16" outlineLevel="1">
      <c r="B10" s="19" t="s">
        <v>566</v>
      </c>
      <c r="C10" s="22"/>
      <c r="D10" s="22">
        <f>_xlfn.XLOOKUP(D$3, 'Nth Bio Revenue &amp; COGS'!$E$3:$M$3, 'Nth Bio Revenue &amp; COGS'!$E$42:$M$42, 0)</f>
        <v>4100</v>
      </c>
      <c r="E10" s="20">
        <f>_xlfn.XLOOKUP(E$3, 'Nth Bio Revenue &amp; COGS'!$E$3:$M$3, 'Nth Bio Revenue &amp; COGS'!$E$42:$M$42, 0)</f>
        <v>4500</v>
      </c>
      <c r="F10" s="20">
        <f>_xlfn.XLOOKUP(F$3, 'Nth Bio Revenue &amp; COGS'!$E$3:$M$3, 'Nth Bio Revenue &amp; COGS'!$E$42:$M$42, 0)</f>
        <v>6300</v>
      </c>
      <c r="G10" s="20">
        <f>_xlfn.XLOOKUP(G$3, 'Nth Bio Revenue &amp; COGS'!$E$3:$M$3, 'Nth Bio Revenue &amp; COGS'!$E$42:$M$42, 0)</f>
        <v>8268.75</v>
      </c>
      <c r="H10" s="20">
        <f>_xlfn.XLOOKUP(H$3, 'Nth Bio Revenue &amp; COGS'!$E$3:$M$3, 'Nth Bio Revenue &amp; COGS'!$E$42:$M$42, 0)</f>
        <v>8682.1875</v>
      </c>
      <c r="I10" s="20">
        <f>_xlfn.XLOOKUP(I$3, 'Nth Bio Revenue &amp; COGS'!$E$3:$M$3, 'Nth Bio Revenue &amp; COGS'!$E$42:$M$42, 0)</f>
        <v>9116.296875</v>
      </c>
      <c r="J10" s="20">
        <f>_xlfn.XLOOKUP(J$3, 'Nth Bio Revenue &amp; COGS'!$E$3:$M$3, 'Nth Bio Revenue &amp; COGS'!$E$42:$M$42, 0)</f>
        <v>9572.1117187500004</v>
      </c>
      <c r="K10" s="20">
        <f>_xlfn.XLOOKUP(K$3, 'Nth Bio Revenue &amp; COGS'!$E$3:$M$3, 'Nth Bio Revenue &amp; COGS'!$E$42:$M$42, 0)</f>
        <v>10050.717304687501</v>
      </c>
      <c r="L10" s="20">
        <f>_xlfn.XLOOKUP(L$3, 'Nth Bio Revenue &amp; COGS'!$E$3:$M$3, 'Nth Bio Revenue &amp; COGS'!$E$42:$M$42, 0)</f>
        <v>10553.253169921878</v>
      </c>
    </row>
    <row r="11" spans="1:16" outlineLevel="1">
      <c r="B11" s="19" t="s">
        <v>567</v>
      </c>
      <c r="C11" s="22"/>
      <c r="D11" s="22">
        <f>_xlfn.XLOOKUP(D$3, 'Nth Bio Revenue &amp; COGS'!$E$3:$M$3, 'Nth Bio Revenue &amp; COGS'!$E$46:$M$46, 0)</f>
        <v>0</v>
      </c>
      <c r="E11" s="20">
        <f>_xlfn.XLOOKUP(E$3, 'Nth Bio Revenue &amp; COGS'!$E$3:$M$3, 'Nth Bio Revenue &amp; COGS'!$E$46:$M$46, 0)</f>
        <v>2625</v>
      </c>
      <c r="F11" s="20">
        <f>_xlfn.XLOOKUP(F$3, 'Nth Bio Revenue &amp; COGS'!$E$3:$M$3, 'Nth Bio Revenue &amp; COGS'!$E$46:$M$46, 0)</f>
        <v>2756.25</v>
      </c>
      <c r="G11" s="20">
        <f>_xlfn.XLOOKUP(G$3, 'Nth Bio Revenue &amp; COGS'!$E$3:$M$3, 'Nth Bio Revenue &amp; COGS'!$E$46:$M$46, 0)</f>
        <v>2894.0625</v>
      </c>
      <c r="H11" s="20">
        <f>_xlfn.XLOOKUP(H$3, 'Nth Bio Revenue &amp; COGS'!$E$3:$M$3, 'Nth Bio Revenue &amp; COGS'!$E$46:$M$46, 0)</f>
        <v>3038.765625</v>
      </c>
      <c r="I11" s="20">
        <f>_xlfn.XLOOKUP(I$3, 'Nth Bio Revenue &amp; COGS'!$E$3:$M$3, 'Nth Bio Revenue &amp; COGS'!$E$46:$M$46, 0)</f>
        <v>3190.7039062500003</v>
      </c>
      <c r="J11" s="20">
        <f>_xlfn.XLOOKUP(J$3, 'Nth Bio Revenue &amp; COGS'!$E$3:$M$3, 'Nth Bio Revenue &amp; COGS'!$E$46:$M$46, 0)</f>
        <v>3350.2391015625003</v>
      </c>
      <c r="K11" s="20">
        <f>_xlfn.XLOOKUP(K$3, 'Nth Bio Revenue &amp; COGS'!$E$3:$M$3, 'Nth Bio Revenue &amp; COGS'!$E$46:$M$46, 0)</f>
        <v>3517.7510566406254</v>
      </c>
      <c r="L11" s="20">
        <f>_xlfn.XLOOKUP(L$3, 'Nth Bio Revenue &amp; COGS'!$E$3:$M$3, 'Nth Bio Revenue &amp; COGS'!$E$46:$M$46, 0)</f>
        <v>3693.6386094726568</v>
      </c>
    </row>
    <row r="12" spans="1:16" outlineLevel="1">
      <c r="B12" s="19" t="s">
        <v>568</v>
      </c>
      <c r="C12" s="22"/>
      <c r="D12" s="22">
        <f>_xlfn.XLOOKUP(D$3, 'Nth Bio Revenue &amp; COGS'!$E$3:$M$3, 'Nth Bio Revenue &amp; COGS'!$E$51:$M$51, 0)</f>
        <v>0</v>
      </c>
      <c r="E12" s="20">
        <f>_xlfn.XLOOKUP(E$3, 'Nth Bio Revenue &amp; COGS'!$E$3:$M$3, 'Nth Bio Revenue &amp; COGS'!$E$51:$M$51, 0)</f>
        <v>1575</v>
      </c>
      <c r="F12" s="20">
        <f>_xlfn.XLOOKUP(F$3, 'Nth Bio Revenue &amp; COGS'!$E$3:$M$3, 'Nth Bio Revenue &amp; COGS'!$E$51:$M$51, 0)</f>
        <v>2205</v>
      </c>
      <c r="G12" s="20">
        <f>_xlfn.XLOOKUP(G$3, 'Nth Bio Revenue &amp; COGS'!$E$3:$M$3, 'Nth Bio Revenue &amp; COGS'!$E$51:$M$51, 0)</f>
        <v>2894.0625</v>
      </c>
      <c r="H12" s="20">
        <f>_xlfn.XLOOKUP(H$3, 'Nth Bio Revenue &amp; COGS'!$E$3:$M$3, 'Nth Bio Revenue &amp; COGS'!$E$51:$M$51, 0)</f>
        <v>3038.7656250000005</v>
      </c>
      <c r="I12" s="20">
        <f>_xlfn.XLOOKUP(I$3, 'Nth Bio Revenue &amp; COGS'!$E$3:$M$3, 'Nth Bio Revenue &amp; COGS'!$E$51:$M$51, 0)</f>
        <v>3190.7039062500007</v>
      </c>
      <c r="J12" s="20">
        <f>_xlfn.XLOOKUP(J$3, 'Nth Bio Revenue &amp; COGS'!$E$3:$M$3, 'Nth Bio Revenue &amp; COGS'!$E$51:$M$51, 0)</f>
        <v>3350.2391015625012</v>
      </c>
      <c r="K12" s="20">
        <f>_xlfn.XLOOKUP(K$3, 'Nth Bio Revenue &amp; COGS'!$E$3:$M$3, 'Nth Bio Revenue &amp; COGS'!$E$51:$M$51, 0)</f>
        <v>3517.7510566406263</v>
      </c>
      <c r="L12" s="20">
        <f>_xlfn.XLOOKUP(L$3, 'Nth Bio Revenue &amp; COGS'!$E$3:$M$3, 'Nth Bio Revenue &amp; COGS'!$E$51:$M$51, 0)</f>
        <v>3693.6386094726577</v>
      </c>
    </row>
    <row r="13" spans="1:16" outlineLevel="1">
      <c r="B13" s="19" t="s">
        <v>569</v>
      </c>
      <c r="C13" s="22"/>
      <c r="D13" s="22">
        <f>_xlfn.XLOOKUP(D$3, 'Nth Bio Revenue &amp; COGS'!$E$3:$M$3, 'Nth Bio Revenue &amp; COGS'!$E$57:$M$57, 0)</f>
        <v>0</v>
      </c>
      <c r="E13" s="20">
        <f>_xlfn.XLOOKUP(E$3, 'Nth Bio Revenue &amp; COGS'!$E$3:$M$3, 'Nth Bio Revenue &amp; COGS'!$E$57:$M$57, 0)</f>
        <v>0</v>
      </c>
      <c r="F13" s="20">
        <f>_xlfn.XLOOKUP(F$3, 'Nth Bio Revenue &amp; COGS'!$E$3:$M$3, 'Nth Bio Revenue &amp; COGS'!$E$57:$M$57, 0)</f>
        <v>0</v>
      </c>
      <c r="G13" s="20">
        <f>_xlfn.XLOOKUP(G$3, 'Nth Bio Revenue &amp; COGS'!$E$3:$M$3, 'Nth Bio Revenue &amp; COGS'!$E$57:$M$57, 0)</f>
        <v>300</v>
      </c>
      <c r="H13" s="20">
        <f>_xlfn.XLOOKUP(H$3, 'Nth Bio Revenue &amp; COGS'!$E$3:$M$3, 'Nth Bio Revenue &amp; COGS'!$E$57:$M$57, 0)</f>
        <v>390</v>
      </c>
      <c r="I13" s="20">
        <f>_xlfn.XLOOKUP(I$3, 'Nth Bio Revenue &amp; COGS'!$E$3:$M$3, 'Nth Bio Revenue &amp; COGS'!$E$57:$M$57, 0)</f>
        <v>807</v>
      </c>
      <c r="J13" s="20">
        <f>_xlfn.XLOOKUP(J$3, 'Nth Bio Revenue &amp; COGS'!$E$3:$M$3, 'Nth Bio Revenue &amp; COGS'!$E$57:$M$57, 0)</f>
        <v>1049.1000000000001</v>
      </c>
      <c r="K13" s="20">
        <f>_xlfn.XLOOKUP(K$3, 'Nth Bio Revenue &amp; COGS'!$E$3:$M$3, 'Nth Bio Revenue &amp; COGS'!$E$57:$M$57, 0)</f>
        <v>1663.8300000000004</v>
      </c>
      <c r="L13" s="20">
        <f>_xlfn.XLOOKUP(L$3, 'Nth Bio Revenue &amp; COGS'!$E$3:$M$3, 'Nth Bio Revenue &amp; COGS'!$E$57:$M$57, 0)</f>
        <v>2162.9790000000003</v>
      </c>
    </row>
    <row r="14" spans="1:16" ht="15" customHeight="1" thickBot="1">
      <c r="B14" s="23" t="s">
        <v>76</v>
      </c>
      <c r="C14" s="173">
        <f t="shared" ref="C14:L14" si="1">SUM(C6:C13)</f>
        <v>0</v>
      </c>
      <c r="D14" s="173">
        <f t="shared" si="1"/>
        <v>5400</v>
      </c>
      <c r="E14" s="173">
        <f t="shared" si="1"/>
        <v>12924</v>
      </c>
      <c r="F14" s="173">
        <f t="shared" si="1"/>
        <v>19310.05</v>
      </c>
      <c r="G14" s="173">
        <f t="shared" si="1"/>
        <v>28807.395</v>
      </c>
      <c r="H14" s="173">
        <f t="shared" si="1"/>
        <v>30322.764750000002</v>
      </c>
      <c r="I14" s="173">
        <f t="shared" si="1"/>
        <v>32236.402987500005</v>
      </c>
      <c r="J14" s="173">
        <f t="shared" si="1"/>
        <v>34049.973136875</v>
      </c>
      <c r="K14" s="173">
        <f t="shared" si="1"/>
        <v>36314.746793718761</v>
      </c>
      <c r="L14" s="173">
        <f t="shared" si="1"/>
        <v>38546.441633404691</v>
      </c>
    </row>
    <row r="15" spans="1:16" ht="3.75" customHeight="1">
      <c r="C15" s="14"/>
      <c r="D15" s="14"/>
      <c r="E15" s="14"/>
      <c r="F15" s="14"/>
      <c r="G15" s="14"/>
      <c r="H15" s="14"/>
      <c r="I15" s="14"/>
      <c r="J15" s="14"/>
      <c r="K15" s="14"/>
      <c r="L15" s="14"/>
    </row>
    <row r="16" spans="1:16" s="15" customFormat="1" ht="15" customHeight="1">
      <c r="B16" s="431" t="s">
        <v>77</v>
      </c>
      <c r="C16" s="431"/>
      <c r="D16" s="431"/>
      <c r="E16" s="431"/>
      <c r="F16" s="431"/>
      <c r="G16" s="431"/>
      <c r="H16" s="431"/>
      <c r="I16" s="431"/>
      <c r="J16" s="431"/>
      <c r="K16" s="431"/>
      <c r="L16" s="431"/>
    </row>
    <row r="17" spans="2:13" outlineLevel="1">
      <c r="B17" s="19" t="s">
        <v>570</v>
      </c>
      <c r="C17" s="22"/>
      <c r="D17" s="22">
        <f>_xlfn.XLOOKUP(D$3, 'Nth Bio Revenue &amp; COGS'!$E$3:$M$3, 'Nth Bio Revenue &amp; COGS'!$E68:$M68, 0)</f>
        <v>440.00000000000006</v>
      </c>
      <c r="E17" s="20">
        <f>_xlfn.XLOOKUP(E$3, 'Nth Bio Revenue &amp; COGS'!$E$3:$M$3, 'Nth Bio Revenue &amp; COGS'!$E68:$M68, 0)</f>
        <v>800</v>
      </c>
      <c r="F17" s="20">
        <f>_xlfn.XLOOKUP(F$3, 'Nth Bio Revenue &amp; COGS'!$E$3:$M$3, 'Nth Bio Revenue &amp; COGS'!$E68:$M68, 0)</f>
        <v>1300</v>
      </c>
      <c r="G17" s="20">
        <f>_xlfn.XLOOKUP(G$3, 'Nth Bio Revenue &amp; COGS'!$E$3:$M$3, 'Nth Bio Revenue &amp; COGS'!$E68:$M68, 0)</f>
        <v>1800</v>
      </c>
      <c r="H17" s="20">
        <f>_xlfn.XLOOKUP(H$3, 'Nth Bio Revenue &amp; COGS'!$E$3:$M$3, 'Nth Bio Revenue &amp; COGS'!$E68:$M68, 0)</f>
        <v>1890</v>
      </c>
      <c r="I17" s="20">
        <f>_xlfn.XLOOKUP(I$3, 'Nth Bio Revenue &amp; COGS'!$E$3:$M$3, 'Nth Bio Revenue &amp; COGS'!$E68:$M68, 0)</f>
        <v>1984.5</v>
      </c>
      <c r="J17" s="20">
        <f>_xlfn.XLOOKUP(J$3, 'Nth Bio Revenue &amp; COGS'!$E$3:$M$3, 'Nth Bio Revenue &amp; COGS'!$E68:$M68, 0)</f>
        <v>2083.7249999999999</v>
      </c>
      <c r="K17" s="20">
        <f>_xlfn.XLOOKUP(K$3, 'Nth Bio Revenue &amp; COGS'!$E$3:$M$3, 'Nth Bio Revenue &amp; COGS'!$E68:$M68, 0)</f>
        <v>2187.9112500000001</v>
      </c>
      <c r="L17" s="20">
        <f>_xlfn.XLOOKUP(L$3, 'Nth Bio Revenue &amp; COGS'!$E$3:$M$3, 'Nth Bio Revenue &amp; COGS'!$E68:$M68, 0)</f>
        <v>2297.3068125000004</v>
      </c>
    </row>
    <row r="18" spans="2:13" outlineLevel="1">
      <c r="B18" s="19" t="s">
        <v>571</v>
      </c>
      <c r="C18" s="22"/>
      <c r="D18" s="22">
        <f>_xlfn.XLOOKUP(D$3, 'Nth Bio Revenue &amp; COGS'!$E$3:$M$3, 'Nth Bio Revenue &amp; COGS'!$E69:$M69, 0)</f>
        <v>0</v>
      </c>
      <c r="E18" s="20">
        <f>_xlfn.XLOOKUP(E$3, 'Nth Bio Revenue &amp; COGS'!$E$3:$M$3, 'Nth Bio Revenue &amp; COGS'!$E69:$M69, 0)</f>
        <v>160</v>
      </c>
      <c r="F18" s="20">
        <f>_xlfn.XLOOKUP(F$3, 'Nth Bio Revenue &amp; COGS'!$E$3:$M$3, 'Nth Bio Revenue &amp; COGS'!$E69:$M69, 0)</f>
        <v>560</v>
      </c>
      <c r="G18" s="20">
        <f>_xlfn.XLOOKUP(G$3, 'Nth Bio Revenue &amp; COGS'!$E$3:$M$3, 'Nth Bio Revenue &amp; COGS'!$E69:$M69, 0)</f>
        <v>1920</v>
      </c>
      <c r="H18" s="20">
        <f>_xlfn.XLOOKUP(H$3, 'Nth Bio Revenue &amp; COGS'!$E$3:$M$3, 'Nth Bio Revenue &amp; COGS'!$E69:$M69, 0)</f>
        <v>2016</v>
      </c>
      <c r="I18" s="20">
        <f>_xlfn.XLOOKUP(I$3, 'Nth Bio Revenue &amp; COGS'!$E$3:$M$3, 'Nth Bio Revenue &amp; COGS'!$E69:$M69, 0)</f>
        <v>2116.8000000000002</v>
      </c>
      <c r="J18" s="20">
        <f>_xlfn.XLOOKUP(J$3, 'Nth Bio Revenue &amp; COGS'!$E$3:$M$3, 'Nth Bio Revenue &amp; COGS'!$E69:$M69, 0)</f>
        <v>2222.6400000000003</v>
      </c>
      <c r="K18" s="20">
        <f>_xlfn.XLOOKUP(K$3, 'Nth Bio Revenue &amp; COGS'!$E$3:$M$3, 'Nth Bio Revenue &amp; COGS'!$E69:$M69, 0)</f>
        <v>2333.7720000000004</v>
      </c>
      <c r="L18" s="20">
        <f>_xlfn.XLOOKUP(L$3, 'Nth Bio Revenue &amp; COGS'!$E$3:$M$3, 'Nth Bio Revenue &amp; COGS'!$E69:$M69, 0)</f>
        <v>2450.4606000000003</v>
      </c>
    </row>
    <row r="19" spans="2:13" outlineLevel="1">
      <c r="B19" s="19" t="s">
        <v>572</v>
      </c>
      <c r="C19" s="22"/>
      <c r="D19" s="22">
        <f>_xlfn.XLOOKUP(D$3, 'Nth Bio Revenue &amp; COGS'!$E$3:$M$3, 'Nth Bio Revenue &amp; COGS'!$E71:$M71, 0)</f>
        <v>224.99999999999997</v>
      </c>
      <c r="E19" s="20">
        <f>_xlfn.XLOOKUP(E$3, 'Nth Bio Revenue &amp; COGS'!$E$3:$M$3, 'Nth Bio Revenue &amp; COGS'!$E71:$M71, 0)</f>
        <v>726.40000000000009</v>
      </c>
      <c r="F19" s="20">
        <f>_xlfn.XLOOKUP(F$3, 'Nth Bio Revenue &amp; COGS'!$E$3:$M$3, 'Nth Bio Revenue &amp; COGS'!$E71:$M71, 0)</f>
        <v>829.08000000000027</v>
      </c>
      <c r="G19" s="20">
        <f>_xlfn.XLOOKUP(G$3, 'Nth Bio Revenue &amp; COGS'!$E$3:$M$3, 'Nth Bio Revenue &amp; COGS'!$E71:$M71, 0)</f>
        <v>1140.4260000000004</v>
      </c>
      <c r="H19" s="20">
        <f>_xlfn.XLOOKUP(H$3, 'Nth Bio Revenue &amp; COGS'!$E$3:$M$3, 'Nth Bio Revenue &amp; COGS'!$E71:$M71, 0)</f>
        <v>1197.4473000000005</v>
      </c>
      <c r="I19" s="20">
        <f>_xlfn.XLOOKUP(I$3, 'Nth Bio Revenue &amp; COGS'!$E$3:$M$3, 'Nth Bio Revenue &amp; COGS'!$E71:$M71, 0)</f>
        <v>1257.3196650000004</v>
      </c>
      <c r="J19" s="20">
        <f>_xlfn.XLOOKUP(J$3, 'Nth Bio Revenue &amp; COGS'!$E$3:$M$3, 'Nth Bio Revenue &amp; COGS'!$E71:$M71, 0)</f>
        <v>1320.1856482500002</v>
      </c>
      <c r="K19" s="20">
        <f>_xlfn.XLOOKUP(K$3, 'Nth Bio Revenue &amp; COGS'!$E$3:$M$3, 'Nth Bio Revenue &amp; COGS'!$E71:$M71, 0)</f>
        <v>1386.1949306625006</v>
      </c>
      <c r="L19" s="20">
        <f>_xlfn.XLOOKUP(L$3, 'Nth Bio Revenue &amp; COGS'!$E$3:$M$3, 'Nth Bio Revenue &amp; COGS'!$E71:$M71, 0)</f>
        <v>1455.5046771956256</v>
      </c>
    </row>
    <row r="20" spans="2:13" outlineLevel="1">
      <c r="B20" s="19" t="s">
        <v>573</v>
      </c>
      <c r="C20" s="22"/>
      <c r="D20" s="22">
        <f>_xlfn.XLOOKUP(D$3, 'Nth Bio Revenue &amp; COGS'!$E$3:$M$3, 'Nth Bio Revenue &amp; COGS'!$E72:$M72, 0)</f>
        <v>0</v>
      </c>
      <c r="E20" s="20">
        <f>_xlfn.XLOOKUP(E$3, 'Nth Bio Revenue &amp; COGS'!$E$3:$M$3, 'Nth Bio Revenue &amp; COGS'!$E72:$M72, 0)</f>
        <v>163.20000000000002</v>
      </c>
      <c r="F20" s="20">
        <f>_xlfn.XLOOKUP(F$3, 'Nth Bio Revenue &amp; COGS'!$E$3:$M$3, 'Nth Bio Revenue &amp; COGS'!$E72:$M72, 0)</f>
        <v>385.56000000000006</v>
      </c>
      <c r="G20" s="20">
        <f>_xlfn.XLOOKUP(G$3, 'Nth Bio Revenue &amp; COGS'!$E$3:$M$3, 'Nth Bio Revenue &amp; COGS'!$E72:$M72, 0)</f>
        <v>674.73000000000025</v>
      </c>
      <c r="H20" s="20">
        <f>_xlfn.XLOOKUP(H$3, 'Nth Bio Revenue &amp; COGS'!$E$3:$M$3, 'Nth Bio Revenue &amp; COGS'!$E72:$M72, 0)</f>
        <v>708.46650000000034</v>
      </c>
      <c r="I20" s="20">
        <f>_xlfn.XLOOKUP(I$3, 'Nth Bio Revenue &amp; COGS'!$E$3:$M$3, 'Nth Bio Revenue &amp; COGS'!$E72:$M72, 0)</f>
        <v>743.88982500000031</v>
      </c>
      <c r="J20" s="20">
        <f>_xlfn.XLOOKUP(J$3, 'Nth Bio Revenue &amp; COGS'!$E$3:$M$3, 'Nth Bio Revenue &amp; COGS'!$E72:$M72, 0)</f>
        <v>781.08431625000037</v>
      </c>
      <c r="K20" s="20">
        <f>_xlfn.XLOOKUP(K$3, 'Nth Bio Revenue &amp; COGS'!$E$3:$M$3, 'Nth Bio Revenue &amp; COGS'!$E72:$M72, 0)</f>
        <v>820.1385320625003</v>
      </c>
      <c r="L20" s="20">
        <f>_xlfn.XLOOKUP(L$3, 'Nth Bio Revenue &amp; COGS'!$E$3:$M$3, 'Nth Bio Revenue &amp; COGS'!$E72:$M72, 0)</f>
        <v>861.14545866562548</v>
      </c>
    </row>
    <row r="21" spans="2:13" outlineLevel="1">
      <c r="B21" s="19" t="s">
        <v>574</v>
      </c>
      <c r="C21" s="22"/>
      <c r="D21" s="22">
        <f>_xlfn.XLOOKUP(D$3, 'Nth Bio Revenue &amp; COGS'!$E$3:$M$3, 'Nth Bio Revenue &amp; COGS'!$E73:$M73, 0)</f>
        <v>1844.9999999999998</v>
      </c>
      <c r="E21" s="20">
        <f>_xlfn.XLOOKUP(E$3, 'Nth Bio Revenue &amp; COGS'!$E$3:$M$3, 'Nth Bio Revenue &amp; COGS'!$E73:$M73, 0)</f>
        <v>931.03448275862058</v>
      </c>
      <c r="F21" s="20">
        <f>_xlfn.XLOOKUP(F$3, 'Nth Bio Revenue &amp; COGS'!$E$3:$M$3, 'Nth Bio Revenue &amp; COGS'!$E73:$M73, 0)</f>
        <v>1057.3426573426573</v>
      </c>
      <c r="G21" s="20">
        <f>_xlfn.XLOOKUP(G$3, 'Nth Bio Revenue &amp; COGS'!$E$3:$M$3, 'Nth Bio Revenue &amp; COGS'!$E73:$M73, 0)</f>
        <v>2480.6250000000005</v>
      </c>
      <c r="H21" s="20">
        <f>_xlfn.XLOOKUP(H$3, 'Nth Bio Revenue &amp; COGS'!$E$3:$M$3, 'Nth Bio Revenue &amp; COGS'!$E73:$M73, 0)</f>
        <v>2604.6562500000005</v>
      </c>
      <c r="I21" s="20">
        <f>_xlfn.XLOOKUP(I$3, 'Nth Bio Revenue &amp; COGS'!$E$3:$M$3, 'Nth Bio Revenue &amp; COGS'!$E73:$M73, 0)</f>
        <v>2734.8890625000004</v>
      </c>
      <c r="J21" s="20">
        <f>_xlfn.XLOOKUP(J$3, 'Nth Bio Revenue &amp; COGS'!$E$3:$M$3, 'Nth Bio Revenue &amp; COGS'!$E73:$M73, 0)</f>
        <v>2871.6335156250007</v>
      </c>
      <c r="K21" s="20">
        <f>_xlfn.XLOOKUP(K$3, 'Nth Bio Revenue &amp; COGS'!$E$3:$M$3, 'Nth Bio Revenue &amp; COGS'!$E73:$M73, 0)</f>
        <v>3015.2151914062511</v>
      </c>
      <c r="L21" s="20">
        <f>_xlfn.XLOOKUP(L$3, 'Nth Bio Revenue &amp; COGS'!$E$3:$M$3, 'Nth Bio Revenue &amp; COGS'!$E73:$M73, 0)</f>
        <v>3165.975950976564</v>
      </c>
    </row>
    <row r="22" spans="2:13" outlineLevel="1">
      <c r="B22" s="19" t="s">
        <v>577</v>
      </c>
      <c r="C22" s="22"/>
      <c r="D22" s="22">
        <f>_xlfn.XLOOKUP(D$3, 'Nth Bio Revenue &amp; COGS'!$E$3:$M$3, 'Nth Bio Revenue &amp; COGS'!$E$57:$M$57, 0)</f>
        <v>0</v>
      </c>
      <c r="E22" s="20">
        <v>0</v>
      </c>
      <c r="F22" s="20">
        <v>0</v>
      </c>
      <c r="G22" s="20">
        <v>0</v>
      </c>
      <c r="H22" s="20">
        <v>0</v>
      </c>
      <c r="I22" s="20">
        <v>0</v>
      </c>
      <c r="J22" s="20">
        <v>0</v>
      </c>
      <c r="K22" s="20">
        <v>0</v>
      </c>
      <c r="L22" s="20">
        <v>0</v>
      </c>
    </row>
    <row r="23" spans="2:13" outlineLevel="1">
      <c r="B23" s="19" t="s">
        <v>576</v>
      </c>
      <c r="C23" s="22"/>
      <c r="D23" s="22">
        <f>_xlfn.XLOOKUP(D$3, 'Nth Bio Revenue &amp; COGS'!$E$3:$M$3, 'Nth Bio Revenue &amp; COGS'!$E$57:$M$57, 0)</f>
        <v>0</v>
      </c>
      <c r="E23" s="20">
        <v>0</v>
      </c>
      <c r="F23" s="20">
        <v>0</v>
      </c>
      <c r="G23" s="20">
        <v>0</v>
      </c>
      <c r="H23" s="20">
        <v>0</v>
      </c>
      <c r="I23" s="20">
        <v>0</v>
      </c>
      <c r="J23" s="20">
        <v>0</v>
      </c>
      <c r="K23" s="20">
        <v>0</v>
      </c>
      <c r="L23" s="20">
        <v>0</v>
      </c>
    </row>
    <row r="24" spans="2:13" outlineLevel="1">
      <c r="B24" s="19" t="s">
        <v>575</v>
      </c>
      <c r="C24" s="22"/>
      <c r="D24" s="22">
        <f>_xlfn.XLOOKUP(D$3, 'Nth Bio Revenue &amp; COGS'!$E$3:$M$3, 'Nth Bio Revenue &amp; COGS'!$E$57:$M$57, 0)</f>
        <v>0</v>
      </c>
      <c r="E24" s="20">
        <v>0</v>
      </c>
      <c r="F24" s="20">
        <v>0</v>
      </c>
      <c r="G24" s="20">
        <v>0</v>
      </c>
      <c r="H24" s="20">
        <v>0</v>
      </c>
      <c r="I24" s="20">
        <v>0</v>
      </c>
      <c r="J24" s="20">
        <v>0</v>
      </c>
      <c r="K24" s="20">
        <v>0</v>
      </c>
      <c r="L24" s="20">
        <v>0</v>
      </c>
    </row>
    <row r="25" spans="2:13" ht="15" customHeight="1" thickBot="1">
      <c r="B25" s="23" t="s">
        <v>76</v>
      </c>
      <c r="C25" s="173">
        <f t="shared" ref="C25" si="2">SUM(C17:C24)</f>
        <v>0</v>
      </c>
      <c r="D25" s="173">
        <f>SUM(D17:D24)</f>
        <v>2510</v>
      </c>
      <c r="E25" s="173">
        <f t="shared" ref="E25:L25" si="3">SUM(E17:E24)</f>
        <v>2780.6344827586208</v>
      </c>
      <c r="F25" s="173">
        <f t="shared" si="3"/>
        <v>4131.9826573426581</v>
      </c>
      <c r="G25" s="173">
        <f t="shared" si="3"/>
        <v>8015.7810000000009</v>
      </c>
      <c r="H25" s="173">
        <f t="shared" si="3"/>
        <v>8416.5700500000021</v>
      </c>
      <c r="I25" s="173">
        <f t="shared" si="3"/>
        <v>8837.3985525000007</v>
      </c>
      <c r="J25" s="173">
        <f t="shared" si="3"/>
        <v>9279.2684801250016</v>
      </c>
      <c r="K25" s="173">
        <f t="shared" si="3"/>
        <v>9743.231904131253</v>
      </c>
      <c r="L25" s="173">
        <f t="shared" si="3"/>
        <v>10230.393499337817</v>
      </c>
    </row>
    <row r="26" spans="2:13" ht="3.75" customHeight="1">
      <c r="C26" s="14"/>
      <c r="D26" s="14"/>
      <c r="E26" s="14"/>
      <c r="F26" s="14"/>
      <c r="G26" s="14"/>
      <c r="H26" s="14"/>
      <c r="I26" s="14"/>
      <c r="J26" s="14"/>
      <c r="K26" s="14"/>
      <c r="L26" s="14"/>
    </row>
    <row r="27" spans="2:13" s="15" customFormat="1">
      <c r="B27" s="174" t="s">
        <v>78</v>
      </c>
      <c r="C27" s="175"/>
      <c r="D27" s="175"/>
      <c r="E27" s="175"/>
      <c r="F27" s="175"/>
      <c r="G27" s="175"/>
      <c r="H27" s="175"/>
      <c r="I27" s="175"/>
      <c r="J27" s="175"/>
      <c r="K27" s="175"/>
      <c r="L27" s="175"/>
    </row>
    <row r="28" spans="2:13" outlineLevel="1">
      <c r="B28" s="19" t="s">
        <v>562</v>
      </c>
      <c r="C28" s="261">
        <f>IFERROR(C38/C6, 0)</f>
        <v>0</v>
      </c>
      <c r="D28" s="261">
        <f t="shared" ref="D28:L28" si="4">IFERROR(D38/D6, 0)</f>
        <v>0.44999999999999996</v>
      </c>
      <c r="E28" s="25">
        <f t="shared" si="4"/>
        <v>0.5</v>
      </c>
      <c r="F28" s="25">
        <f t="shared" si="4"/>
        <v>0.5</v>
      </c>
      <c r="G28" s="25">
        <f t="shared" si="4"/>
        <v>0.5</v>
      </c>
      <c r="H28" s="25">
        <f t="shared" si="4"/>
        <v>0.5</v>
      </c>
      <c r="I28" s="25">
        <f t="shared" si="4"/>
        <v>0.5</v>
      </c>
      <c r="J28" s="25">
        <f t="shared" si="4"/>
        <v>0.5</v>
      </c>
      <c r="K28" s="25">
        <f t="shared" si="4"/>
        <v>0.5</v>
      </c>
      <c r="L28" s="25">
        <f t="shared" si="4"/>
        <v>0.5</v>
      </c>
      <c r="M28" s="211"/>
    </row>
    <row r="29" spans="2:13" outlineLevel="1">
      <c r="B29" s="19" t="s">
        <v>563</v>
      </c>
      <c r="C29" s="261">
        <f t="shared" ref="C29:L29" si="5">IFERROR(C39/C7, 0)</f>
        <v>0</v>
      </c>
      <c r="D29" s="261">
        <f t="shared" si="5"/>
        <v>0</v>
      </c>
      <c r="E29" s="25">
        <f t="shared" si="5"/>
        <v>0.6</v>
      </c>
      <c r="F29" s="25">
        <f t="shared" si="5"/>
        <v>0.6</v>
      </c>
      <c r="G29" s="25">
        <f t="shared" si="5"/>
        <v>0.6</v>
      </c>
      <c r="H29" s="25">
        <f t="shared" si="5"/>
        <v>0.6</v>
      </c>
      <c r="I29" s="25">
        <f t="shared" si="5"/>
        <v>0.6</v>
      </c>
      <c r="J29" s="25">
        <f t="shared" si="5"/>
        <v>0.6</v>
      </c>
      <c r="K29" s="25">
        <f t="shared" si="5"/>
        <v>0.6</v>
      </c>
      <c r="L29" s="25">
        <f t="shared" si="5"/>
        <v>0.6</v>
      </c>
      <c r="M29" s="211"/>
    </row>
    <row r="30" spans="2:13" outlineLevel="1">
      <c r="B30" s="19" t="s">
        <v>564</v>
      </c>
      <c r="C30" s="261">
        <f t="shared" ref="C30:L30" si="6">IFERROR(C40/C8, 0)</f>
        <v>0</v>
      </c>
      <c r="D30" s="261">
        <f t="shared" si="6"/>
        <v>0.55000000000000004</v>
      </c>
      <c r="E30" s="25">
        <f t="shared" si="6"/>
        <v>0.6</v>
      </c>
      <c r="F30" s="25">
        <f t="shared" si="6"/>
        <v>0.7</v>
      </c>
      <c r="G30" s="25">
        <f t="shared" si="6"/>
        <v>0.7</v>
      </c>
      <c r="H30" s="25">
        <f t="shared" si="6"/>
        <v>0.69999999999999984</v>
      </c>
      <c r="I30" s="25">
        <f t="shared" si="6"/>
        <v>0.7</v>
      </c>
      <c r="J30" s="25">
        <f t="shared" si="6"/>
        <v>0.7</v>
      </c>
      <c r="K30" s="25">
        <f t="shared" si="6"/>
        <v>0.7</v>
      </c>
      <c r="L30" s="25">
        <f t="shared" si="6"/>
        <v>0.69999999999999984</v>
      </c>
      <c r="M30" s="211"/>
    </row>
    <row r="31" spans="2:13" outlineLevel="1">
      <c r="B31" s="19" t="s">
        <v>565</v>
      </c>
      <c r="C31" s="261">
        <f t="shared" ref="C31:L31" si="7">IFERROR(C41/C9, 0)</f>
        <v>0</v>
      </c>
      <c r="D31" s="261">
        <f t="shared" si="7"/>
        <v>0</v>
      </c>
      <c r="E31" s="25">
        <f t="shared" si="7"/>
        <v>0.6</v>
      </c>
      <c r="F31" s="25">
        <f t="shared" si="7"/>
        <v>0.7</v>
      </c>
      <c r="G31" s="25">
        <f t="shared" si="7"/>
        <v>0.7</v>
      </c>
      <c r="H31" s="25">
        <f t="shared" si="7"/>
        <v>0.7</v>
      </c>
      <c r="I31" s="25">
        <f t="shared" si="7"/>
        <v>0.7</v>
      </c>
      <c r="J31" s="25">
        <f t="shared" si="7"/>
        <v>0.69999999999999984</v>
      </c>
      <c r="K31" s="25">
        <f t="shared" si="7"/>
        <v>0.7</v>
      </c>
      <c r="L31" s="25">
        <f t="shared" si="7"/>
        <v>0.7</v>
      </c>
      <c r="M31" s="211"/>
    </row>
    <row r="32" spans="2:13" outlineLevel="1">
      <c r="B32" s="19" t="s">
        <v>566</v>
      </c>
      <c r="C32" s="261">
        <f t="shared" ref="C32:L32" si="8">IFERROR(C42/C10, 0)</f>
        <v>0</v>
      </c>
      <c r="D32" s="261">
        <f t="shared" si="8"/>
        <v>0.55000000000000004</v>
      </c>
      <c r="E32" s="25">
        <f t="shared" si="8"/>
        <v>0.7931034482758621</v>
      </c>
      <c r="F32" s="25">
        <f t="shared" si="8"/>
        <v>0.8321678321678323</v>
      </c>
      <c r="G32" s="25">
        <f t="shared" si="8"/>
        <v>0.7</v>
      </c>
      <c r="H32" s="25">
        <f t="shared" si="8"/>
        <v>0.7</v>
      </c>
      <c r="I32" s="25">
        <f t="shared" si="8"/>
        <v>0.7</v>
      </c>
      <c r="J32" s="25">
        <f t="shared" si="8"/>
        <v>0.7</v>
      </c>
      <c r="K32" s="25">
        <f t="shared" si="8"/>
        <v>0.7</v>
      </c>
      <c r="L32" s="25">
        <f t="shared" si="8"/>
        <v>0.69999999999999984</v>
      </c>
      <c r="M32" s="211"/>
    </row>
    <row r="33" spans="2:13" outlineLevel="1">
      <c r="B33" s="19" t="s">
        <v>578</v>
      </c>
      <c r="C33" s="261">
        <f t="shared" ref="C33:L33" si="9">IFERROR(C43/C11, 0)</f>
        <v>0</v>
      </c>
      <c r="D33" s="261">
        <f t="shared" si="9"/>
        <v>0</v>
      </c>
      <c r="E33" s="25">
        <f t="shared" si="9"/>
        <v>1</v>
      </c>
      <c r="F33" s="25">
        <f t="shared" si="9"/>
        <v>1</v>
      </c>
      <c r="G33" s="25">
        <f t="shared" si="9"/>
        <v>1</v>
      </c>
      <c r="H33" s="25">
        <f t="shared" si="9"/>
        <v>1</v>
      </c>
      <c r="I33" s="25">
        <f t="shared" si="9"/>
        <v>1</v>
      </c>
      <c r="J33" s="25">
        <f t="shared" si="9"/>
        <v>1</v>
      </c>
      <c r="K33" s="25">
        <f t="shared" si="9"/>
        <v>1</v>
      </c>
      <c r="L33" s="25">
        <f t="shared" si="9"/>
        <v>1</v>
      </c>
      <c r="M33" s="211"/>
    </row>
    <row r="34" spans="2:13" outlineLevel="1">
      <c r="B34" s="19" t="s">
        <v>579</v>
      </c>
      <c r="C34" s="261">
        <f t="shared" ref="C34:L34" si="10">IFERROR(C44/C12, 0)</f>
        <v>0</v>
      </c>
      <c r="D34" s="261">
        <f t="shared" si="10"/>
        <v>0</v>
      </c>
      <c r="E34" s="25">
        <f t="shared" si="10"/>
        <v>1</v>
      </c>
      <c r="F34" s="25">
        <f t="shared" si="10"/>
        <v>1</v>
      </c>
      <c r="G34" s="25">
        <f t="shared" si="10"/>
        <v>1</v>
      </c>
      <c r="H34" s="25">
        <f t="shared" si="10"/>
        <v>1</v>
      </c>
      <c r="I34" s="25">
        <f t="shared" si="10"/>
        <v>1</v>
      </c>
      <c r="J34" s="25">
        <f t="shared" si="10"/>
        <v>1</v>
      </c>
      <c r="K34" s="25">
        <f t="shared" si="10"/>
        <v>1</v>
      </c>
      <c r="L34" s="25">
        <f t="shared" si="10"/>
        <v>1</v>
      </c>
      <c r="M34" s="211"/>
    </row>
    <row r="35" spans="2:13" outlineLevel="1">
      <c r="B35" s="457" t="s">
        <v>580</v>
      </c>
      <c r="C35" s="261">
        <f t="shared" ref="C35:L35" si="11">IFERROR(C45/C13, 0)</f>
        <v>0</v>
      </c>
      <c r="D35" s="261">
        <f t="shared" si="11"/>
        <v>0</v>
      </c>
      <c r="E35" s="25">
        <f t="shared" si="11"/>
        <v>0</v>
      </c>
      <c r="F35" s="25">
        <f t="shared" si="11"/>
        <v>0</v>
      </c>
      <c r="G35" s="25">
        <f t="shared" si="11"/>
        <v>1</v>
      </c>
      <c r="H35" s="25">
        <f t="shared" si="11"/>
        <v>1</v>
      </c>
      <c r="I35" s="25">
        <f t="shared" si="11"/>
        <v>1</v>
      </c>
      <c r="J35" s="25">
        <f t="shared" si="11"/>
        <v>1</v>
      </c>
      <c r="K35" s="25">
        <f t="shared" si="11"/>
        <v>1</v>
      </c>
      <c r="L35" s="25">
        <f t="shared" si="11"/>
        <v>1</v>
      </c>
      <c r="M35" s="211"/>
    </row>
    <row r="36" spans="2:13" s="100" customFormat="1" ht="14.25" outlineLevel="1" thickBot="1">
      <c r="B36" s="23" t="s">
        <v>422</v>
      </c>
      <c r="C36" s="460">
        <f t="shared" ref="C36:L36" si="12">IFERROR(C46/C14, 0)</f>
        <v>0</v>
      </c>
      <c r="D36" s="460">
        <f t="shared" si="12"/>
        <v>0.53518518518518521</v>
      </c>
      <c r="E36" s="460">
        <f t="shared" si="12"/>
        <v>0.78484722355628123</v>
      </c>
      <c r="F36" s="460">
        <f t="shared" si="12"/>
        <v>0.78601905964289798</v>
      </c>
      <c r="G36" s="460">
        <f t="shared" si="12"/>
        <v>0.72174571841709401</v>
      </c>
      <c r="H36" s="460">
        <f t="shared" si="12"/>
        <v>0.7224339495625971</v>
      </c>
      <c r="I36" s="460">
        <f t="shared" si="12"/>
        <v>0.72585655552429984</v>
      </c>
      <c r="J36" s="460">
        <f t="shared" si="12"/>
        <v>0.72748088690631429</v>
      </c>
      <c r="K36" s="460">
        <f t="shared" si="12"/>
        <v>0.73170040370991918</v>
      </c>
      <c r="L36" s="460">
        <f t="shared" si="12"/>
        <v>0.73459564447909853</v>
      </c>
      <c r="M36" s="178"/>
    </row>
    <row r="37" spans="2:13" ht="3.75" customHeight="1" outlineLevel="1">
      <c r="B37" s="103"/>
      <c r="C37" s="456"/>
      <c r="D37" s="456"/>
      <c r="E37" s="201"/>
      <c r="F37" s="201"/>
      <c r="G37" s="201"/>
      <c r="H37" s="201"/>
      <c r="I37" s="201"/>
      <c r="J37" s="201"/>
      <c r="K37" s="201"/>
      <c r="L37" s="201"/>
      <c r="M37" s="211"/>
    </row>
    <row r="38" spans="2:13" outlineLevel="1">
      <c r="B38" s="19" t="s">
        <v>562</v>
      </c>
      <c r="C38" s="22">
        <f>C6 - C17</f>
        <v>0</v>
      </c>
      <c r="D38" s="22">
        <f t="shared" ref="D38:L38" si="13">D6 - D17</f>
        <v>359.99999999999994</v>
      </c>
      <c r="E38" s="20">
        <f t="shared" si="13"/>
        <v>800</v>
      </c>
      <c r="F38" s="20">
        <f t="shared" si="13"/>
        <v>1300</v>
      </c>
      <c r="G38" s="20">
        <f t="shared" si="13"/>
        <v>1800</v>
      </c>
      <c r="H38" s="20">
        <f t="shared" si="13"/>
        <v>1890</v>
      </c>
      <c r="I38" s="20">
        <f t="shared" si="13"/>
        <v>1984.5</v>
      </c>
      <c r="J38" s="20">
        <f t="shared" si="13"/>
        <v>2083.7249999999999</v>
      </c>
      <c r="K38" s="20">
        <f t="shared" si="13"/>
        <v>2187.9112500000001</v>
      </c>
      <c r="L38" s="20">
        <f t="shared" si="13"/>
        <v>2297.3068125000004</v>
      </c>
      <c r="M38" s="211"/>
    </row>
    <row r="39" spans="2:13" outlineLevel="1">
      <c r="B39" s="19" t="s">
        <v>563</v>
      </c>
      <c r="C39" s="22">
        <f t="shared" ref="C39:L39" si="14">C7 - C18</f>
        <v>0</v>
      </c>
      <c r="D39" s="22">
        <f t="shared" si="14"/>
        <v>0</v>
      </c>
      <c r="E39" s="20">
        <f t="shared" si="14"/>
        <v>240</v>
      </c>
      <c r="F39" s="20">
        <f t="shared" si="14"/>
        <v>840</v>
      </c>
      <c r="G39" s="20">
        <f t="shared" si="14"/>
        <v>2880</v>
      </c>
      <c r="H39" s="20">
        <f t="shared" si="14"/>
        <v>3024</v>
      </c>
      <c r="I39" s="20">
        <f t="shared" si="14"/>
        <v>3175.2</v>
      </c>
      <c r="J39" s="20">
        <f t="shared" si="14"/>
        <v>3333.96</v>
      </c>
      <c r="K39" s="20">
        <f t="shared" si="14"/>
        <v>3500.6579999999999</v>
      </c>
      <c r="L39" s="20">
        <f t="shared" si="14"/>
        <v>3675.6909000000005</v>
      </c>
      <c r="M39" s="211"/>
    </row>
    <row r="40" spans="2:13" outlineLevel="1">
      <c r="B40" s="19" t="s">
        <v>564</v>
      </c>
      <c r="C40" s="22">
        <f t="shared" ref="C40:L40" si="15">C8 - C19</f>
        <v>0</v>
      </c>
      <c r="D40" s="22">
        <f t="shared" si="15"/>
        <v>275</v>
      </c>
      <c r="E40" s="20">
        <f t="shared" si="15"/>
        <v>1089.5999999999999</v>
      </c>
      <c r="F40" s="20">
        <f t="shared" si="15"/>
        <v>1934.52</v>
      </c>
      <c r="G40" s="20">
        <f t="shared" si="15"/>
        <v>2660.9940000000001</v>
      </c>
      <c r="H40" s="20">
        <f t="shared" si="15"/>
        <v>2794.0437000000002</v>
      </c>
      <c r="I40" s="20">
        <f t="shared" si="15"/>
        <v>2933.7458850000007</v>
      </c>
      <c r="J40" s="20">
        <f t="shared" si="15"/>
        <v>3080.4331792500002</v>
      </c>
      <c r="K40" s="20">
        <f t="shared" si="15"/>
        <v>3234.4548382125008</v>
      </c>
      <c r="L40" s="20">
        <f t="shared" si="15"/>
        <v>3396.1775801231252</v>
      </c>
      <c r="M40" s="211"/>
    </row>
    <row r="41" spans="2:13" outlineLevel="1">
      <c r="B41" s="19" t="s">
        <v>565</v>
      </c>
      <c r="C41" s="22">
        <f t="shared" ref="C41:L41" si="16">C9 - C20</f>
        <v>0</v>
      </c>
      <c r="D41" s="22">
        <f t="shared" si="16"/>
        <v>0</v>
      </c>
      <c r="E41" s="20">
        <f t="shared" si="16"/>
        <v>244.79999999999998</v>
      </c>
      <c r="F41" s="20">
        <f t="shared" si="16"/>
        <v>899.64</v>
      </c>
      <c r="G41" s="20">
        <f t="shared" si="16"/>
        <v>1574.3700000000001</v>
      </c>
      <c r="H41" s="20">
        <f t="shared" si="16"/>
        <v>1653.0885000000003</v>
      </c>
      <c r="I41" s="20">
        <f t="shared" si="16"/>
        <v>1735.7429250000005</v>
      </c>
      <c r="J41" s="20">
        <f t="shared" si="16"/>
        <v>1822.5300712500002</v>
      </c>
      <c r="K41" s="20">
        <f t="shared" si="16"/>
        <v>1913.6565748125004</v>
      </c>
      <c r="L41" s="20">
        <f t="shared" si="16"/>
        <v>2009.3394035531255</v>
      </c>
      <c r="M41" s="211"/>
    </row>
    <row r="42" spans="2:13" outlineLevel="1">
      <c r="B42" s="19" t="s">
        <v>566</v>
      </c>
      <c r="C42" s="22">
        <f t="shared" ref="C42:L42" si="17">C10 - C21</f>
        <v>0</v>
      </c>
      <c r="D42" s="22">
        <f t="shared" si="17"/>
        <v>2255</v>
      </c>
      <c r="E42" s="20">
        <f t="shared" si="17"/>
        <v>3568.9655172413795</v>
      </c>
      <c r="F42" s="20">
        <f t="shared" si="17"/>
        <v>5242.6573426573432</v>
      </c>
      <c r="G42" s="20">
        <f t="shared" si="17"/>
        <v>5788.125</v>
      </c>
      <c r="H42" s="20">
        <f t="shared" si="17"/>
        <v>6077.53125</v>
      </c>
      <c r="I42" s="20">
        <f t="shared" si="17"/>
        <v>6381.4078124999996</v>
      </c>
      <c r="J42" s="20">
        <f t="shared" si="17"/>
        <v>6700.4782031249997</v>
      </c>
      <c r="K42" s="20">
        <f t="shared" si="17"/>
        <v>7035.5021132812508</v>
      </c>
      <c r="L42" s="20">
        <f t="shared" si="17"/>
        <v>7387.2772189453135</v>
      </c>
      <c r="M42" s="211"/>
    </row>
    <row r="43" spans="2:13" outlineLevel="1">
      <c r="B43" s="19" t="s">
        <v>578</v>
      </c>
      <c r="C43" s="22">
        <f t="shared" ref="C43:L43" si="18">C11 - C22</f>
        <v>0</v>
      </c>
      <c r="D43" s="22">
        <f t="shared" si="18"/>
        <v>0</v>
      </c>
      <c r="E43" s="20">
        <f t="shared" si="18"/>
        <v>2625</v>
      </c>
      <c r="F43" s="20">
        <f t="shared" si="18"/>
        <v>2756.25</v>
      </c>
      <c r="G43" s="20">
        <f t="shared" si="18"/>
        <v>2894.0625</v>
      </c>
      <c r="H43" s="20">
        <f t="shared" si="18"/>
        <v>3038.765625</v>
      </c>
      <c r="I43" s="20">
        <f t="shared" si="18"/>
        <v>3190.7039062500003</v>
      </c>
      <c r="J43" s="20">
        <f t="shared" si="18"/>
        <v>3350.2391015625003</v>
      </c>
      <c r="K43" s="20">
        <f t="shared" si="18"/>
        <v>3517.7510566406254</v>
      </c>
      <c r="L43" s="20">
        <f t="shared" si="18"/>
        <v>3693.6386094726568</v>
      </c>
      <c r="M43" s="211"/>
    </row>
    <row r="44" spans="2:13" outlineLevel="1">
      <c r="B44" s="19" t="s">
        <v>579</v>
      </c>
      <c r="C44" s="22">
        <f t="shared" ref="C44:L44" si="19">C12 - C23</f>
        <v>0</v>
      </c>
      <c r="D44" s="22">
        <f t="shared" si="19"/>
        <v>0</v>
      </c>
      <c r="E44" s="20">
        <f t="shared" si="19"/>
        <v>1575</v>
      </c>
      <c r="F44" s="20">
        <f t="shared" si="19"/>
        <v>2205</v>
      </c>
      <c r="G44" s="20">
        <f t="shared" si="19"/>
        <v>2894.0625</v>
      </c>
      <c r="H44" s="20">
        <f t="shared" si="19"/>
        <v>3038.7656250000005</v>
      </c>
      <c r="I44" s="20">
        <f t="shared" si="19"/>
        <v>3190.7039062500007</v>
      </c>
      <c r="J44" s="20">
        <f t="shared" si="19"/>
        <v>3350.2391015625012</v>
      </c>
      <c r="K44" s="20">
        <f t="shared" si="19"/>
        <v>3517.7510566406263</v>
      </c>
      <c r="L44" s="20">
        <f t="shared" si="19"/>
        <v>3693.6386094726577</v>
      </c>
      <c r="M44" s="211"/>
    </row>
    <row r="45" spans="2:13" outlineLevel="1">
      <c r="B45" s="457" t="s">
        <v>580</v>
      </c>
      <c r="C45" s="458">
        <f t="shared" ref="C45:L45" si="20">C13 - C24</f>
        <v>0</v>
      </c>
      <c r="D45" s="458">
        <f t="shared" si="20"/>
        <v>0</v>
      </c>
      <c r="E45" s="459">
        <f t="shared" si="20"/>
        <v>0</v>
      </c>
      <c r="F45" s="459">
        <f t="shared" si="20"/>
        <v>0</v>
      </c>
      <c r="G45" s="459">
        <f t="shared" si="20"/>
        <v>300</v>
      </c>
      <c r="H45" s="459">
        <f t="shared" si="20"/>
        <v>390</v>
      </c>
      <c r="I45" s="459">
        <f t="shared" si="20"/>
        <v>807</v>
      </c>
      <c r="J45" s="459">
        <f t="shared" si="20"/>
        <v>1049.1000000000001</v>
      </c>
      <c r="K45" s="459">
        <f t="shared" si="20"/>
        <v>1663.8300000000004</v>
      </c>
      <c r="L45" s="459">
        <f t="shared" si="20"/>
        <v>2162.9790000000003</v>
      </c>
      <c r="M45" s="211"/>
    </row>
    <row r="46" spans="2:13" ht="15" customHeight="1" thickBot="1">
      <c r="B46" s="23" t="s">
        <v>581</v>
      </c>
      <c r="C46" s="24">
        <f t="shared" ref="C46:L46" si="21">C14 - C25</f>
        <v>0</v>
      </c>
      <c r="D46" s="24">
        <f t="shared" si="21"/>
        <v>2890</v>
      </c>
      <c r="E46" s="24">
        <f t="shared" si="21"/>
        <v>10143.365517241378</v>
      </c>
      <c r="F46" s="24">
        <f t="shared" si="21"/>
        <v>15178.067342657341</v>
      </c>
      <c r="G46" s="24">
        <f t="shared" si="21"/>
        <v>20791.614000000001</v>
      </c>
      <c r="H46" s="24">
        <f t="shared" si="21"/>
        <v>21906.1947</v>
      </c>
      <c r="I46" s="24">
        <f t="shared" si="21"/>
        <v>23399.004435000003</v>
      </c>
      <c r="J46" s="24">
        <f t="shared" si="21"/>
        <v>24770.70465675</v>
      </c>
      <c r="K46" s="24">
        <f t="shared" si="21"/>
        <v>26571.51488958751</v>
      </c>
      <c r="L46" s="24">
        <f t="shared" si="21"/>
        <v>28316.048134066874</v>
      </c>
    </row>
    <row r="47" spans="2:13" ht="3.75" customHeight="1">
      <c r="C47" s="14"/>
      <c r="D47" s="14"/>
      <c r="E47" s="14"/>
      <c r="F47" s="14"/>
      <c r="G47" s="14"/>
      <c r="H47" s="14"/>
      <c r="I47" s="14"/>
      <c r="J47" s="14"/>
      <c r="K47" s="14"/>
      <c r="L47" s="14"/>
    </row>
    <row r="48" spans="2:13" s="15" customFormat="1">
      <c r="B48" s="431" t="s">
        <v>79</v>
      </c>
      <c r="C48" s="431"/>
      <c r="D48" s="431"/>
      <c r="E48" s="431"/>
      <c r="F48" s="431"/>
      <c r="G48" s="431"/>
      <c r="H48" s="431"/>
      <c r="I48" s="431"/>
      <c r="J48" s="431"/>
      <c r="K48" s="431"/>
      <c r="L48" s="431"/>
    </row>
    <row r="49" spans="2:12" ht="15" customHeight="1" thickBot="1">
      <c r="B49" s="23" t="s">
        <v>76</v>
      </c>
      <c r="C49" s="173"/>
      <c r="D49" s="173"/>
      <c r="E49" s="173"/>
      <c r="F49" s="173"/>
      <c r="G49" s="173"/>
      <c r="H49" s="173"/>
      <c r="I49" s="173"/>
      <c r="J49" s="173"/>
      <c r="K49" s="173"/>
      <c r="L49" s="173"/>
    </row>
    <row r="50" spans="2:12" ht="3.75" customHeight="1">
      <c r="C50" s="14"/>
      <c r="D50" s="14"/>
      <c r="E50" s="14"/>
      <c r="F50" s="14"/>
      <c r="G50" s="14"/>
      <c r="H50" s="14"/>
      <c r="I50" s="14"/>
      <c r="J50" s="14"/>
      <c r="K50" s="14"/>
      <c r="L50" s="14"/>
    </row>
    <row r="51" spans="2:12" s="15" customFormat="1">
      <c r="B51" s="28" t="s">
        <v>81</v>
      </c>
      <c r="C51" s="29"/>
      <c r="D51" s="29"/>
      <c r="E51" s="29"/>
      <c r="F51" s="29"/>
      <c r="G51" s="29"/>
      <c r="H51" s="29"/>
      <c r="I51" s="29"/>
      <c r="J51" s="29"/>
      <c r="K51" s="29"/>
      <c r="L51" s="29"/>
    </row>
    <row r="52" spans="2:12" ht="15" customHeight="1" thickBot="1">
      <c r="B52" s="23"/>
      <c r="C52" s="173"/>
      <c r="D52" s="173"/>
      <c r="E52" s="173"/>
      <c r="F52" s="173"/>
      <c r="G52" s="173"/>
      <c r="H52" s="173"/>
      <c r="I52" s="173"/>
      <c r="J52" s="173"/>
      <c r="K52" s="173"/>
      <c r="L52" s="173"/>
    </row>
    <row r="53" spans="2:12" ht="15" customHeight="1">
      <c r="B53" s="176"/>
      <c r="C53" s="177"/>
      <c r="D53" s="177"/>
      <c r="E53" s="177"/>
      <c r="F53" s="177"/>
      <c r="G53" s="177"/>
      <c r="H53" s="177"/>
      <c r="I53" s="177"/>
      <c r="J53" s="177"/>
      <c r="K53" s="177"/>
      <c r="L53" s="177"/>
    </row>
  </sheetData>
  <conditionalFormatting sqref="C28:L46">
    <cfRule type="cellIs" dxfId="7" priority="1" operator="greaterThan">
      <formula>0</formula>
    </cfRule>
    <cfRule type="cellIs" dxfId="6" priority="2" operator="lessThan">
      <formula>0</formula>
    </cfRule>
  </conditionalFormatting>
  <pageMargins left="0.7" right="0.7" top="0.75" bottom="0.75" header="0.3" footer="0.3"/>
  <pageSetup scale="59" fitToHeight="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A3714-A724-40AE-83A0-0FD2CCA5E904}">
  <sheetPr>
    <tabColor theme="9" tint="-9.9978637043366805E-2"/>
  </sheetPr>
  <dimension ref="A1:P91"/>
  <sheetViews>
    <sheetView workbookViewId="0"/>
  </sheetViews>
  <sheetFormatPr defaultRowHeight="15.75"/>
  <cols>
    <col min="1" max="3" width="1.33203125" style="271" customWidth="1"/>
    <col min="4" max="4" width="30.6640625" style="271" bestFit="1" customWidth="1"/>
    <col min="5" max="13" width="12.109375" style="271" customWidth="1"/>
    <col min="14" max="14" width="0.5546875" customWidth="1"/>
    <col min="15" max="15" width="13.33203125" style="292" bestFit="1" customWidth="1"/>
    <col min="16" max="16" width="0.5546875" customWidth="1"/>
  </cols>
  <sheetData>
    <row r="1" spans="1:16" s="8" customFormat="1" ht="51.75" customHeight="1">
      <c r="A1" s="461"/>
      <c r="B1" s="10" t="s">
        <v>582</v>
      </c>
      <c r="C1" s="10"/>
      <c r="D1" s="10"/>
      <c r="E1" s="10"/>
      <c r="F1" s="11"/>
      <c r="G1" s="11"/>
      <c r="H1" s="11"/>
      <c r="I1" s="11"/>
      <c r="J1" s="11"/>
      <c r="K1" s="11"/>
      <c r="L1" s="11"/>
      <c r="M1" s="11"/>
      <c r="N1" s="11"/>
      <c r="O1" s="462"/>
      <c r="P1" s="271"/>
    </row>
    <row r="2" spans="1:16" s="271" customFormat="1">
      <c r="O2" s="292"/>
    </row>
    <row r="3" spans="1:16" s="8" customFormat="1" ht="13.5">
      <c r="B3" s="439" t="s">
        <v>64</v>
      </c>
      <c r="C3" s="439"/>
      <c r="D3" s="439"/>
      <c r="E3" s="440">
        <v>2023</v>
      </c>
      <c r="F3" s="440">
        <f>E3+1</f>
        <v>2024</v>
      </c>
      <c r="G3" s="440">
        <f t="shared" ref="G3:M3" si="0">F3+1</f>
        <v>2025</v>
      </c>
      <c r="H3" s="440">
        <f t="shared" si="0"/>
        <v>2026</v>
      </c>
      <c r="I3" s="440">
        <f t="shared" si="0"/>
        <v>2027</v>
      </c>
      <c r="J3" s="440">
        <f t="shared" si="0"/>
        <v>2028</v>
      </c>
      <c r="K3" s="440">
        <f t="shared" si="0"/>
        <v>2029</v>
      </c>
      <c r="L3" s="440">
        <f t="shared" si="0"/>
        <v>2030</v>
      </c>
      <c r="M3" s="440">
        <f t="shared" si="0"/>
        <v>2031</v>
      </c>
      <c r="O3" s="440" t="s">
        <v>583</v>
      </c>
    </row>
    <row r="4" spans="1:16" s="8" customFormat="1" ht="3.75" customHeight="1">
      <c r="O4" s="211"/>
    </row>
    <row r="5" spans="1:16" s="8" customFormat="1" ht="13.5">
      <c r="B5" s="479" t="s">
        <v>582</v>
      </c>
      <c r="C5" s="479"/>
      <c r="D5" s="479"/>
      <c r="E5" s="480">
        <f>E11+E17+E30+E36+E42+E46+E51+E57+E23</f>
        <v>5400</v>
      </c>
      <c r="F5" s="480">
        <f t="shared" ref="F5:M5" si="1">F11+F17+F30+F36+F42+F46+F51+F57+F23</f>
        <v>12924</v>
      </c>
      <c r="G5" s="480">
        <f t="shared" si="1"/>
        <v>22310.05</v>
      </c>
      <c r="H5" s="480">
        <f t="shared" si="1"/>
        <v>43807.395000000004</v>
      </c>
      <c r="I5" s="480">
        <f t="shared" si="1"/>
        <v>46072.764750000002</v>
      </c>
      <c r="J5" s="480">
        <f t="shared" si="1"/>
        <v>48773.902987500005</v>
      </c>
      <c r="K5" s="480">
        <f t="shared" si="1"/>
        <v>51414.348136875</v>
      </c>
      <c r="L5" s="480">
        <f t="shared" si="1"/>
        <v>54547.340543718761</v>
      </c>
      <c r="M5" s="480">
        <f t="shared" si="1"/>
        <v>57690.665070904695</v>
      </c>
      <c r="O5" s="481"/>
    </row>
    <row r="6" spans="1:16" s="8" customFormat="1" ht="3.75" customHeight="1">
      <c r="O6" s="211"/>
    </row>
    <row r="7" spans="1:16" s="8" customFormat="1" ht="13.5">
      <c r="C7" s="482" t="s">
        <v>562</v>
      </c>
      <c r="D7" s="482"/>
      <c r="E7" s="483"/>
      <c r="F7" s="483"/>
      <c r="G7" s="483"/>
      <c r="H7" s="483"/>
      <c r="I7" s="483"/>
      <c r="J7" s="483"/>
      <c r="K7" s="483"/>
      <c r="L7" s="483"/>
      <c r="M7" s="483"/>
      <c r="O7" s="484"/>
    </row>
    <row r="8" spans="1:16" s="8" customFormat="1" ht="3.75" customHeight="1">
      <c r="O8" s="211"/>
    </row>
    <row r="9" spans="1:16" s="8" customFormat="1" ht="13.5">
      <c r="D9" s="468" t="s">
        <v>584</v>
      </c>
      <c r="E9" s="293">
        <v>0</v>
      </c>
      <c r="F9" s="293">
        <v>400</v>
      </c>
      <c r="G9" s="293">
        <v>650</v>
      </c>
      <c r="H9" s="293">
        <v>900</v>
      </c>
      <c r="I9" s="293">
        <f>H9 * ( 1 +$O9)</f>
        <v>945</v>
      </c>
      <c r="J9" s="293">
        <f t="shared" ref="J9:M9" si="2">I9 * ( 1 +$O9)</f>
        <v>992.25</v>
      </c>
      <c r="K9" s="293">
        <f t="shared" si="2"/>
        <v>1041.8625</v>
      </c>
      <c r="L9" s="293">
        <f t="shared" si="2"/>
        <v>1093.9556250000001</v>
      </c>
      <c r="M9" s="293">
        <f t="shared" si="2"/>
        <v>1148.6534062500002</v>
      </c>
      <c r="O9" s="469">
        <v>0.05</v>
      </c>
    </row>
    <row r="10" spans="1:16" s="8" customFormat="1" ht="13.5">
      <c r="D10" s="468" t="s">
        <v>585</v>
      </c>
      <c r="E10" s="470">
        <v>2</v>
      </c>
      <c r="F10" s="470">
        <v>4</v>
      </c>
      <c r="G10" s="470">
        <v>4</v>
      </c>
      <c r="H10" s="470">
        <v>4</v>
      </c>
      <c r="I10" s="470">
        <v>4</v>
      </c>
      <c r="J10" s="470">
        <v>4</v>
      </c>
      <c r="K10" s="470">
        <v>4</v>
      </c>
      <c r="L10" s="470">
        <v>4</v>
      </c>
      <c r="M10" s="470">
        <v>4</v>
      </c>
      <c r="O10" s="469"/>
    </row>
    <row r="11" spans="1:16" s="100" customFormat="1" ht="13.5">
      <c r="D11" s="471" t="s">
        <v>94</v>
      </c>
      <c r="E11" s="472">
        <v>800</v>
      </c>
      <c r="F11" s="472">
        <f t="shared" ref="F11:M11" si="3">F9*F10</f>
        <v>1600</v>
      </c>
      <c r="G11" s="472">
        <f t="shared" si="3"/>
        <v>2600</v>
      </c>
      <c r="H11" s="472">
        <f>H9*H10</f>
        <v>3600</v>
      </c>
      <c r="I11" s="472">
        <f t="shared" si="3"/>
        <v>3780</v>
      </c>
      <c r="J11" s="472">
        <f t="shared" si="3"/>
        <v>3969</v>
      </c>
      <c r="K11" s="472">
        <f t="shared" si="3"/>
        <v>4167.45</v>
      </c>
      <c r="L11" s="472">
        <f t="shared" si="3"/>
        <v>4375.8225000000002</v>
      </c>
      <c r="M11" s="472">
        <f t="shared" si="3"/>
        <v>4594.6136250000009</v>
      </c>
      <c r="O11" s="473"/>
    </row>
    <row r="12" spans="1:16" s="8" customFormat="1" ht="3.75" customHeight="1">
      <c r="O12" s="211"/>
    </row>
    <row r="13" spans="1:16" s="8" customFormat="1" ht="13.5">
      <c r="C13" s="482" t="s">
        <v>563</v>
      </c>
      <c r="D13" s="482"/>
      <c r="E13" s="483"/>
      <c r="F13" s="483"/>
      <c r="G13" s="483"/>
      <c r="H13" s="483"/>
      <c r="I13" s="483"/>
      <c r="J13" s="483"/>
      <c r="K13" s="483"/>
      <c r="L13" s="483"/>
      <c r="M13" s="483"/>
      <c r="O13" s="484"/>
    </row>
    <row r="14" spans="1:16" s="8" customFormat="1" ht="3.75" customHeight="1">
      <c r="O14" s="211"/>
    </row>
    <row r="15" spans="1:16" s="8" customFormat="1" ht="13.5">
      <c r="D15" s="468" t="s">
        <v>584</v>
      </c>
      <c r="E15" s="293">
        <v>0</v>
      </c>
      <c r="F15" s="293">
        <v>200</v>
      </c>
      <c r="G15" s="293">
        <v>350</v>
      </c>
      <c r="H15" s="293">
        <v>1200</v>
      </c>
      <c r="I15" s="293">
        <f>H15 * ( 1 +$O15)</f>
        <v>1260</v>
      </c>
      <c r="J15" s="293">
        <f t="shared" ref="J15:M15" si="4">I15 * ( 1 +$O15)</f>
        <v>1323</v>
      </c>
      <c r="K15" s="293">
        <f t="shared" si="4"/>
        <v>1389.15</v>
      </c>
      <c r="L15" s="293">
        <f t="shared" si="4"/>
        <v>1458.6075000000001</v>
      </c>
      <c r="M15" s="293">
        <f t="shared" si="4"/>
        <v>1531.5378750000002</v>
      </c>
      <c r="O15" s="469">
        <v>0.05</v>
      </c>
    </row>
    <row r="16" spans="1:16" s="8" customFormat="1" ht="13.5">
      <c r="D16" s="468" t="s">
        <v>585</v>
      </c>
      <c r="E16" s="470">
        <v>0</v>
      </c>
      <c r="F16" s="470">
        <v>2</v>
      </c>
      <c r="G16" s="470">
        <v>4</v>
      </c>
      <c r="H16" s="470">
        <v>4</v>
      </c>
      <c r="I16" s="470">
        <v>4</v>
      </c>
      <c r="J16" s="470">
        <v>4</v>
      </c>
      <c r="K16" s="470">
        <v>4</v>
      </c>
      <c r="L16" s="470">
        <v>4</v>
      </c>
      <c r="M16" s="470">
        <v>4</v>
      </c>
      <c r="O16" s="469"/>
    </row>
    <row r="17" spans="3:15" s="100" customFormat="1" ht="13.5">
      <c r="D17" s="471" t="s">
        <v>94</v>
      </c>
      <c r="E17" s="472">
        <v>0</v>
      </c>
      <c r="F17" s="472">
        <f t="shared" ref="F17:M17" si="5">F15*F16</f>
        <v>400</v>
      </c>
      <c r="G17" s="472">
        <f t="shared" si="5"/>
        <v>1400</v>
      </c>
      <c r="H17" s="472">
        <f t="shared" si="5"/>
        <v>4800</v>
      </c>
      <c r="I17" s="472">
        <f t="shared" si="5"/>
        <v>5040</v>
      </c>
      <c r="J17" s="472">
        <f t="shared" si="5"/>
        <v>5292</v>
      </c>
      <c r="K17" s="472">
        <f t="shared" si="5"/>
        <v>5556.6</v>
      </c>
      <c r="L17" s="472">
        <f t="shared" si="5"/>
        <v>5834.43</v>
      </c>
      <c r="M17" s="472">
        <f t="shared" si="5"/>
        <v>6126.1515000000009</v>
      </c>
      <c r="O17" s="473"/>
    </row>
    <row r="18" spans="3:15" s="8" customFormat="1" ht="3.75" customHeight="1">
      <c r="O18" s="211"/>
    </row>
    <row r="19" spans="3:15" s="8" customFormat="1" ht="13.5">
      <c r="C19" s="482" t="s">
        <v>643</v>
      </c>
      <c r="D19" s="482"/>
      <c r="E19" s="483"/>
      <c r="F19" s="483"/>
      <c r="G19" s="483"/>
      <c r="H19" s="483"/>
      <c r="I19" s="483"/>
      <c r="J19" s="483"/>
      <c r="K19" s="483"/>
      <c r="L19" s="483"/>
      <c r="M19" s="483"/>
      <c r="O19" s="484"/>
    </row>
    <row r="20" spans="3:15" s="8" customFormat="1" ht="3.75" customHeight="1">
      <c r="O20" s="211"/>
    </row>
    <row r="21" spans="3:15" s="8" customFormat="1" ht="13.5">
      <c r="D21" s="468" t="s">
        <v>584</v>
      </c>
      <c r="E21" s="293"/>
      <c r="F21" s="293"/>
      <c r="G21" s="293"/>
      <c r="H21" s="293"/>
      <c r="I21" s="293"/>
      <c r="J21" s="293"/>
      <c r="K21" s="293"/>
      <c r="L21" s="293"/>
      <c r="M21" s="293"/>
      <c r="O21" s="469">
        <v>0.05</v>
      </c>
    </row>
    <row r="22" spans="3:15" s="8" customFormat="1" ht="13.5">
      <c r="D22" s="468" t="s">
        <v>585</v>
      </c>
      <c r="E22" s="470"/>
      <c r="F22" s="470"/>
      <c r="G22" s="470"/>
      <c r="H22" s="470"/>
      <c r="I22" s="470"/>
      <c r="J22" s="470"/>
      <c r="K22" s="470"/>
      <c r="L22" s="470"/>
      <c r="M22" s="470"/>
      <c r="O22" s="469"/>
    </row>
    <row r="23" spans="3:15" s="100" customFormat="1" ht="13.5">
      <c r="D23" s="471" t="s">
        <v>94</v>
      </c>
      <c r="E23" s="472">
        <v>0</v>
      </c>
      <c r="F23" s="472">
        <f t="shared" ref="F23" si="6">F21*F22</f>
        <v>0</v>
      </c>
      <c r="G23" s="472">
        <v>3000</v>
      </c>
      <c r="H23" s="472">
        <v>15000</v>
      </c>
      <c r="I23" s="472">
        <f>H23 * ( 1 +$O23)</f>
        <v>15750</v>
      </c>
      <c r="J23" s="472">
        <f t="shared" ref="J23:M23" si="7">I23 * ( 1 +$O23)</f>
        <v>16537.5</v>
      </c>
      <c r="K23" s="472">
        <f t="shared" si="7"/>
        <v>17364.375</v>
      </c>
      <c r="L23" s="472">
        <f t="shared" si="7"/>
        <v>18232.59375</v>
      </c>
      <c r="M23" s="472">
        <f t="shared" si="7"/>
        <v>19144.223437500001</v>
      </c>
      <c r="O23" s="469">
        <v>0.05</v>
      </c>
    </row>
    <row r="24" spans="3:15" s="8" customFormat="1" ht="3.75" customHeight="1">
      <c r="O24" s="211"/>
    </row>
    <row r="25" spans="3:15" s="8" customFormat="1" ht="13.5">
      <c r="C25" s="482" t="s">
        <v>564</v>
      </c>
      <c r="D25" s="482"/>
      <c r="E25" s="483"/>
      <c r="F25" s="483"/>
      <c r="G25" s="483"/>
      <c r="H25" s="483"/>
      <c r="I25" s="483"/>
      <c r="J25" s="483"/>
      <c r="K25" s="483"/>
      <c r="L25" s="483"/>
      <c r="M25" s="483"/>
      <c r="O25" s="484"/>
    </row>
    <row r="26" spans="3:15" s="8" customFormat="1" ht="3.75" customHeight="1">
      <c r="O26" s="211"/>
    </row>
    <row r="27" spans="3:15" s="8" customFormat="1" ht="13.5">
      <c r="D27" s="468" t="s">
        <v>586</v>
      </c>
      <c r="E27" s="293">
        <v>0</v>
      </c>
      <c r="F27" s="293">
        <v>34</v>
      </c>
      <c r="G27" s="293">
        <f>F27 * ( 1 +$O27)</f>
        <v>35.700000000000003</v>
      </c>
      <c r="H27" s="293">
        <f t="shared" ref="H27:M27" si="8">G27 * ( 1 +$O27)</f>
        <v>37.485000000000007</v>
      </c>
      <c r="I27" s="293">
        <f t="shared" si="8"/>
        <v>39.35925000000001</v>
      </c>
      <c r="J27" s="293">
        <f t="shared" si="8"/>
        <v>41.327212500000009</v>
      </c>
      <c r="K27" s="293">
        <f t="shared" si="8"/>
        <v>43.39357312500001</v>
      </c>
      <c r="L27" s="293">
        <f t="shared" si="8"/>
        <v>45.56325178125001</v>
      </c>
      <c r="M27" s="293">
        <f t="shared" si="8"/>
        <v>47.841414370312513</v>
      </c>
      <c r="O27" s="469">
        <v>0.05</v>
      </c>
    </row>
    <row r="28" spans="3:15" s="8" customFormat="1" ht="13.5">
      <c r="D28" s="468" t="s">
        <v>587</v>
      </c>
      <c r="E28" s="470">
        <v>0</v>
      </c>
      <c r="F28" s="470">
        <v>24</v>
      </c>
      <c r="G28" s="470">
        <v>48</v>
      </c>
      <c r="H28" s="470">
        <v>72</v>
      </c>
      <c r="I28" s="470">
        <v>72</v>
      </c>
      <c r="J28" s="470">
        <v>72</v>
      </c>
      <c r="K28" s="470">
        <v>72</v>
      </c>
      <c r="L28" s="470">
        <v>72</v>
      </c>
      <c r="M28" s="470">
        <v>72</v>
      </c>
      <c r="O28" s="469"/>
    </row>
    <row r="29" spans="3:15" s="8" customFormat="1" ht="13.5">
      <c r="D29" s="468" t="s">
        <v>588</v>
      </c>
      <c r="E29" s="293"/>
      <c r="F29" s="293">
        <v>1000</v>
      </c>
      <c r="G29" s="293">
        <f>F29 * ( 1 +$O29)</f>
        <v>1050</v>
      </c>
      <c r="H29" s="293">
        <f t="shared" ref="H29:M29" si="9">G29 * ( 1 +$O29)</f>
        <v>1102.5</v>
      </c>
      <c r="I29" s="293">
        <f t="shared" si="9"/>
        <v>1157.625</v>
      </c>
      <c r="J29" s="293">
        <f t="shared" si="9"/>
        <v>1215.5062500000001</v>
      </c>
      <c r="K29" s="293">
        <f t="shared" si="9"/>
        <v>1276.2815625000003</v>
      </c>
      <c r="L29" s="293">
        <f t="shared" si="9"/>
        <v>1340.0956406250004</v>
      </c>
      <c r="M29" s="293">
        <f t="shared" si="9"/>
        <v>1407.1004226562504</v>
      </c>
      <c r="O29" s="469">
        <v>0.05</v>
      </c>
    </row>
    <row r="30" spans="3:15" s="100" customFormat="1" ht="13.5">
      <c r="D30" s="471" t="s">
        <v>94</v>
      </c>
      <c r="E30" s="472">
        <v>500</v>
      </c>
      <c r="F30" s="472">
        <f>F27*F28 + F29</f>
        <v>1816</v>
      </c>
      <c r="G30" s="472">
        <f t="shared" ref="G30:M30" si="10">G27*G28 + G29</f>
        <v>2763.6000000000004</v>
      </c>
      <c r="H30" s="472">
        <f t="shared" si="10"/>
        <v>3801.4200000000005</v>
      </c>
      <c r="I30" s="472">
        <f t="shared" si="10"/>
        <v>3991.4910000000009</v>
      </c>
      <c r="J30" s="472">
        <f t="shared" si="10"/>
        <v>4191.0655500000012</v>
      </c>
      <c r="K30" s="472">
        <f t="shared" si="10"/>
        <v>4400.6188275000004</v>
      </c>
      <c r="L30" s="472">
        <f t="shared" si="10"/>
        <v>4620.6497688750014</v>
      </c>
      <c r="M30" s="472">
        <f t="shared" si="10"/>
        <v>4851.682257318751</v>
      </c>
      <c r="O30" s="473"/>
    </row>
    <row r="31" spans="3:15" s="8" customFormat="1" ht="3.75" customHeight="1">
      <c r="O31" s="211"/>
    </row>
    <row r="32" spans="3:15" s="8" customFormat="1" ht="13.5">
      <c r="C32" s="482" t="s">
        <v>565</v>
      </c>
      <c r="D32" s="482"/>
      <c r="E32" s="483"/>
      <c r="F32" s="483"/>
      <c r="G32" s="483"/>
      <c r="H32" s="483"/>
      <c r="I32" s="483"/>
      <c r="J32" s="483"/>
      <c r="K32" s="483"/>
      <c r="L32" s="483"/>
      <c r="M32" s="483"/>
      <c r="O32" s="484"/>
    </row>
    <row r="33" spans="3:15" s="8" customFormat="1" ht="3.75" customHeight="1">
      <c r="O33" s="211"/>
    </row>
    <row r="34" spans="3:15" s="8" customFormat="1" ht="13.5">
      <c r="D34" s="468" t="s">
        <v>586</v>
      </c>
      <c r="E34" s="293">
        <v>0</v>
      </c>
      <c r="F34" s="293">
        <v>17</v>
      </c>
      <c r="G34" s="293">
        <f>F34 * ( 1 +$O34)</f>
        <v>17.850000000000001</v>
      </c>
      <c r="H34" s="293">
        <f t="shared" ref="H34:M34" si="11">G34 * ( 1 +$O34)</f>
        <v>18.742500000000003</v>
      </c>
      <c r="I34" s="293">
        <f t="shared" si="11"/>
        <v>19.679625000000005</v>
      </c>
      <c r="J34" s="293">
        <f t="shared" si="11"/>
        <v>20.663606250000004</v>
      </c>
      <c r="K34" s="293">
        <f t="shared" si="11"/>
        <v>21.696786562500005</v>
      </c>
      <c r="L34" s="293">
        <f t="shared" si="11"/>
        <v>22.781625890625005</v>
      </c>
      <c r="M34" s="293">
        <f t="shared" si="11"/>
        <v>23.920707185156257</v>
      </c>
      <c r="O34" s="469">
        <v>0.05</v>
      </c>
    </row>
    <row r="35" spans="3:15" s="8" customFormat="1" ht="13.5">
      <c r="D35" s="468" t="s">
        <v>587</v>
      </c>
      <c r="E35" s="470">
        <v>0</v>
      </c>
      <c r="F35" s="470">
        <v>24</v>
      </c>
      <c r="G35" s="470">
        <v>72</v>
      </c>
      <c r="H35" s="470">
        <v>120</v>
      </c>
      <c r="I35" s="470">
        <v>120</v>
      </c>
      <c r="J35" s="470">
        <v>120</v>
      </c>
      <c r="K35" s="470">
        <v>120</v>
      </c>
      <c r="L35" s="470">
        <v>120</v>
      </c>
      <c r="M35" s="470">
        <v>120</v>
      </c>
      <c r="O35" s="469"/>
    </row>
    <row r="36" spans="3:15" s="100" customFormat="1" ht="13.5">
      <c r="D36" s="471" t="s">
        <v>94</v>
      </c>
      <c r="E36" s="472">
        <v>0</v>
      </c>
      <c r="F36" s="472">
        <f>F34*F35</f>
        <v>408</v>
      </c>
      <c r="G36" s="472">
        <f t="shared" ref="G36:M36" si="12">G34*G35</f>
        <v>1285.2</v>
      </c>
      <c r="H36" s="472">
        <f t="shared" si="12"/>
        <v>2249.1000000000004</v>
      </c>
      <c r="I36" s="472">
        <f t="shared" si="12"/>
        <v>2361.5550000000007</v>
      </c>
      <c r="J36" s="472">
        <f t="shared" si="12"/>
        <v>2479.6327500000007</v>
      </c>
      <c r="K36" s="472">
        <f t="shared" si="12"/>
        <v>2603.6143875000007</v>
      </c>
      <c r="L36" s="472">
        <f t="shared" si="12"/>
        <v>2733.7951068750008</v>
      </c>
      <c r="M36" s="472">
        <f t="shared" si="12"/>
        <v>2870.484862218751</v>
      </c>
      <c r="O36" s="473"/>
    </row>
    <row r="37" spans="3:15" s="8" customFormat="1" ht="3.75" customHeight="1">
      <c r="O37" s="211"/>
    </row>
    <row r="38" spans="3:15" s="8" customFormat="1" ht="13.5">
      <c r="C38" s="482" t="s">
        <v>566</v>
      </c>
      <c r="D38" s="482"/>
      <c r="E38" s="483"/>
      <c r="F38" s="483"/>
      <c r="G38" s="483"/>
      <c r="H38" s="483"/>
      <c r="I38" s="483"/>
      <c r="J38" s="483"/>
      <c r="K38" s="483"/>
      <c r="L38" s="483"/>
      <c r="M38" s="483"/>
      <c r="O38" s="484"/>
    </row>
    <row r="39" spans="3:15" s="8" customFormat="1" ht="3.75" customHeight="1">
      <c r="O39" s="211"/>
    </row>
    <row r="40" spans="3:15" s="8" customFormat="1" ht="13.5">
      <c r="D40" s="468" t="s">
        <v>589</v>
      </c>
      <c r="E40" s="293">
        <v>0</v>
      </c>
      <c r="F40" s="293">
        <v>1500</v>
      </c>
      <c r="G40" s="293">
        <f>F40 * ( 1 +$O40)</f>
        <v>1575</v>
      </c>
      <c r="H40" s="293">
        <f t="shared" ref="H40:M40" si="13">G40 * ( 1 +$O40)</f>
        <v>1653.75</v>
      </c>
      <c r="I40" s="293">
        <f t="shared" si="13"/>
        <v>1736.4375</v>
      </c>
      <c r="J40" s="293">
        <f t="shared" si="13"/>
        <v>1823.2593750000001</v>
      </c>
      <c r="K40" s="293">
        <f t="shared" si="13"/>
        <v>1914.4223437500002</v>
      </c>
      <c r="L40" s="293">
        <f t="shared" si="13"/>
        <v>2010.1434609375003</v>
      </c>
      <c r="M40" s="293">
        <f t="shared" si="13"/>
        <v>2110.6506339843754</v>
      </c>
      <c r="O40" s="469">
        <v>0.05</v>
      </c>
    </row>
    <row r="41" spans="3:15" s="8" customFormat="1" ht="13.5">
      <c r="D41" s="468" t="s">
        <v>590</v>
      </c>
      <c r="E41" s="470">
        <v>0</v>
      </c>
      <c r="F41" s="470">
        <v>3</v>
      </c>
      <c r="G41" s="470">
        <v>4</v>
      </c>
      <c r="H41" s="470">
        <v>5</v>
      </c>
      <c r="I41" s="470">
        <v>5</v>
      </c>
      <c r="J41" s="470">
        <v>5</v>
      </c>
      <c r="K41" s="470">
        <v>5</v>
      </c>
      <c r="L41" s="470">
        <v>5</v>
      </c>
      <c r="M41" s="470">
        <v>5</v>
      </c>
      <c r="O41" s="469"/>
    </row>
    <row r="42" spans="3:15" s="100" customFormat="1" ht="13.5">
      <c r="D42" s="471" t="s">
        <v>591</v>
      </c>
      <c r="E42" s="472">
        <v>4100</v>
      </c>
      <c r="F42" s="472">
        <f>F40*F41</f>
        <v>4500</v>
      </c>
      <c r="G42" s="472">
        <f t="shared" ref="G42:M42" si="14">G40*G41</f>
        <v>6300</v>
      </c>
      <c r="H42" s="472">
        <f t="shared" si="14"/>
        <v>8268.75</v>
      </c>
      <c r="I42" s="472">
        <f t="shared" si="14"/>
        <v>8682.1875</v>
      </c>
      <c r="J42" s="472">
        <f t="shared" si="14"/>
        <v>9116.296875</v>
      </c>
      <c r="K42" s="472">
        <f t="shared" si="14"/>
        <v>9572.1117187500004</v>
      </c>
      <c r="L42" s="472">
        <f t="shared" si="14"/>
        <v>10050.717304687501</v>
      </c>
      <c r="M42" s="472">
        <f t="shared" si="14"/>
        <v>10553.253169921878</v>
      </c>
      <c r="O42" s="473"/>
    </row>
    <row r="43" spans="3:15" s="8" customFormat="1" ht="13.5">
      <c r="D43" s="468"/>
      <c r="E43" s="470"/>
      <c r="F43" s="470"/>
      <c r="G43" s="470"/>
      <c r="H43" s="470"/>
      <c r="I43" s="470"/>
      <c r="J43" s="470"/>
      <c r="K43" s="470"/>
      <c r="L43" s="470"/>
      <c r="M43" s="470"/>
      <c r="O43" s="469"/>
    </row>
    <row r="44" spans="3:15" s="8" customFormat="1" ht="13.5">
      <c r="D44" s="468" t="s">
        <v>613</v>
      </c>
      <c r="E44" s="470">
        <v>0</v>
      </c>
      <c r="F44" s="470">
        <v>1</v>
      </c>
      <c r="G44" s="470">
        <v>1</v>
      </c>
      <c r="H44" s="470">
        <v>1</v>
      </c>
      <c r="I44" s="470">
        <v>1</v>
      </c>
      <c r="J44" s="470">
        <v>1</v>
      </c>
      <c r="K44" s="470">
        <v>1</v>
      </c>
      <c r="L44" s="470">
        <v>1</v>
      </c>
      <c r="M44" s="470">
        <v>1</v>
      </c>
      <c r="O44" s="469"/>
    </row>
    <row r="45" spans="3:15" s="8" customFormat="1" ht="13.5">
      <c r="D45" s="468" t="s">
        <v>592</v>
      </c>
      <c r="E45" s="293">
        <v>2500</v>
      </c>
      <c r="F45" s="293">
        <f>E45 * ( 1 +$O45)</f>
        <v>2625</v>
      </c>
      <c r="G45" s="293">
        <f t="shared" ref="G45:M45" si="15">F45 * ( 1 +$O45)</f>
        <v>2756.25</v>
      </c>
      <c r="H45" s="293">
        <f t="shared" si="15"/>
        <v>2894.0625</v>
      </c>
      <c r="I45" s="293">
        <f t="shared" si="15"/>
        <v>3038.765625</v>
      </c>
      <c r="J45" s="293">
        <f t="shared" si="15"/>
        <v>3190.7039062500003</v>
      </c>
      <c r="K45" s="293">
        <f t="shared" si="15"/>
        <v>3350.2391015625003</v>
      </c>
      <c r="L45" s="293">
        <f t="shared" si="15"/>
        <v>3517.7510566406254</v>
      </c>
      <c r="M45" s="293">
        <f t="shared" si="15"/>
        <v>3693.6386094726568</v>
      </c>
      <c r="O45" s="469">
        <v>0.05</v>
      </c>
    </row>
    <row r="46" spans="3:15" s="100" customFormat="1" ht="13.5">
      <c r="D46" s="471" t="s">
        <v>593</v>
      </c>
      <c r="E46" s="472">
        <f>E44*E45</f>
        <v>0</v>
      </c>
      <c r="F46" s="472">
        <f t="shared" ref="F46:M46" si="16">F44*F45</f>
        <v>2625</v>
      </c>
      <c r="G46" s="472">
        <f t="shared" si="16"/>
        <v>2756.25</v>
      </c>
      <c r="H46" s="472">
        <f t="shared" si="16"/>
        <v>2894.0625</v>
      </c>
      <c r="I46" s="472">
        <f t="shared" si="16"/>
        <v>3038.765625</v>
      </c>
      <c r="J46" s="472">
        <f t="shared" si="16"/>
        <v>3190.7039062500003</v>
      </c>
      <c r="K46" s="472">
        <f t="shared" si="16"/>
        <v>3350.2391015625003</v>
      </c>
      <c r="L46" s="472">
        <f t="shared" si="16"/>
        <v>3517.7510566406254</v>
      </c>
      <c r="M46" s="472">
        <f t="shared" si="16"/>
        <v>3693.6386094726568</v>
      </c>
      <c r="O46" s="473"/>
    </row>
    <row r="47" spans="3:15" s="8" customFormat="1" ht="13.5">
      <c r="D47" s="468"/>
      <c r="E47" s="470"/>
      <c r="F47" s="470"/>
      <c r="G47" s="470"/>
      <c r="H47" s="470"/>
      <c r="I47" s="470"/>
      <c r="J47" s="470"/>
      <c r="K47" s="470"/>
      <c r="L47" s="470"/>
      <c r="M47" s="470"/>
      <c r="O47" s="469"/>
    </row>
    <row r="48" spans="3:15" s="8" customFormat="1" ht="13.5">
      <c r="D48" s="468" t="s">
        <v>594</v>
      </c>
      <c r="E48" s="469">
        <v>0.5</v>
      </c>
      <c r="F48" s="469">
        <v>0.5</v>
      </c>
      <c r="G48" s="469">
        <v>0.5</v>
      </c>
      <c r="H48" s="469">
        <v>0.5</v>
      </c>
      <c r="I48" s="469">
        <v>0.5</v>
      </c>
      <c r="J48" s="469">
        <v>0.5</v>
      </c>
      <c r="K48" s="469">
        <v>0.5</v>
      </c>
      <c r="L48" s="469">
        <v>0.5</v>
      </c>
      <c r="M48" s="469">
        <v>0.5</v>
      </c>
      <c r="N48" s="211"/>
      <c r="O48" s="469"/>
    </row>
    <row r="49" spans="2:15" s="8" customFormat="1" ht="13.5">
      <c r="D49" s="468" t="s">
        <v>595</v>
      </c>
      <c r="E49" s="293">
        <v>1000</v>
      </c>
      <c r="F49" s="293">
        <f>E49 * ( 1 +$O49)</f>
        <v>1050</v>
      </c>
      <c r="G49" s="293">
        <f t="shared" ref="G49:M49" si="17">F49 * ( 1 +$O49)</f>
        <v>1102.5</v>
      </c>
      <c r="H49" s="293">
        <f t="shared" si="17"/>
        <v>1157.625</v>
      </c>
      <c r="I49" s="293">
        <f t="shared" si="17"/>
        <v>1215.5062500000001</v>
      </c>
      <c r="J49" s="293">
        <f t="shared" si="17"/>
        <v>1276.2815625000003</v>
      </c>
      <c r="K49" s="293">
        <f t="shared" si="17"/>
        <v>1340.0956406250004</v>
      </c>
      <c r="L49" s="293">
        <f t="shared" si="17"/>
        <v>1407.1004226562504</v>
      </c>
      <c r="M49" s="293">
        <f t="shared" si="17"/>
        <v>1477.4554437890631</v>
      </c>
      <c r="O49" s="469">
        <v>0.05</v>
      </c>
    </row>
    <row r="50" spans="2:15" s="8" customFormat="1" ht="13.5">
      <c r="D50" s="468" t="s">
        <v>596</v>
      </c>
      <c r="E50" s="293">
        <f>E48*E49</f>
        <v>500</v>
      </c>
      <c r="F50" s="293">
        <f t="shared" ref="F50:M50" si="18">F48*F49</f>
        <v>525</v>
      </c>
      <c r="G50" s="293">
        <f t="shared" si="18"/>
        <v>551.25</v>
      </c>
      <c r="H50" s="293">
        <f t="shared" si="18"/>
        <v>578.8125</v>
      </c>
      <c r="I50" s="293">
        <f t="shared" si="18"/>
        <v>607.75312500000007</v>
      </c>
      <c r="J50" s="293">
        <f t="shared" si="18"/>
        <v>638.14078125000015</v>
      </c>
      <c r="K50" s="293">
        <f t="shared" si="18"/>
        <v>670.04782031250022</v>
      </c>
      <c r="L50" s="293">
        <f t="shared" si="18"/>
        <v>703.55021132812522</v>
      </c>
      <c r="M50" s="293">
        <f t="shared" si="18"/>
        <v>738.72772189453156</v>
      </c>
      <c r="O50" s="469"/>
    </row>
    <row r="51" spans="2:15" s="100" customFormat="1" ht="13.5">
      <c r="D51" s="471" t="s">
        <v>597</v>
      </c>
      <c r="E51" s="474">
        <f>E41*E50</f>
        <v>0</v>
      </c>
      <c r="F51" s="474">
        <f t="shared" ref="F51:M51" si="19">F41*F50</f>
        <v>1575</v>
      </c>
      <c r="G51" s="474">
        <f t="shared" si="19"/>
        <v>2205</v>
      </c>
      <c r="H51" s="474">
        <f t="shared" si="19"/>
        <v>2894.0625</v>
      </c>
      <c r="I51" s="474">
        <f t="shared" si="19"/>
        <v>3038.7656250000005</v>
      </c>
      <c r="J51" s="474">
        <f t="shared" si="19"/>
        <v>3190.7039062500007</v>
      </c>
      <c r="K51" s="474">
        <f t="shared" si="19"/>
        <v>3350.2391015625012</v>
      </c>
      <c r="L51" s="474">
        <f t="shared" si="19"/>
        <v>3517.7510566406263</v>
      </c>
      <c r="M51" s="474">
        <f t="shared" si="19"/>
        <v>3693.6386094726577</v>
      </c>
      <c r="O51" s="473"/>
    </row>
    <row r="52" spans="2:15" s="8" customFormat="1" ht="13.5">
      <c r="D52" s="468"/>
      <c r="E52" s="470"/>
      <c r="F52" s="470"/>
      <c r="G52" s="470"/>
      <c r="H52" s="470"/>
      <c r="I52" s="470"/>
      <c r="J52" s="470"/>
      <c r="K52" s="470"/>
      <c r="L52" s="470"/>
      <c r="M52" s="470"/>
      <c r="O52" s="469"/>
    </row>
    <row r="53" spans="2:15" s="8" customFormat="1" ht="13.5">
      <c r="D53" s="468" t="s">
        <v>598</v>
      </c>
      <c r="E53" s="469">
        <v>0.05</v>
      </c>
      <c r="F53" s="469">
        <v>0.05</v>
      </c>
      <c r="G53" s="469">
        <v>0.05</v>
      </c>
      <c r="H53" s="469">
        <v>0.05</v>
      </c>
      <c r="I53" s="469">
        <v>0.05</v>
      </c>
      <c r="J53" s="469">
        <v>0.05</v>
      </c>
      <c r="K53" s="469">
        <v>0.05</v>
      </c>
      <c r="L53" s="469">
        <v>0.05</v>
      </c>
      <c r="M53" s="469">
        <v>0.05</v>
      </c>
      <c r="O53" s="469"/>
    </row>
    <row r="54" spans="2:15" s="8" customFormat="1" ht="13.5">
      <c r="D54" s="468" t="s">
        <v>599</v>
      </c>
      <c r="E54" s="293"/>
      <c r="F54" s="293"/>
      <c r="G54" s="293"/>
      <c r="H54" s="293">
        <v>6000</v>
      </c>
      <c r="I54" s="470">
        <f>H54 * ( 1 +$O54)</f>
        <v>7800</v>
      </c>
      <c r="J54" s="470">
        <f t="shared" ref="J54:M54" si="20">I54 * ( 1 +$O54)</f>
        <v>10140</v>
      </c>
      <c r="K54" s="470">
        <f t="shared" si="20"/>
        <v>13182</v>
      </c>
      <c r="L54" s="470">
        <f t="shared" si="20"/>
        <v>17136.600000000002</v>
      </c>
      <c r="M54" s="470">
        <f t="shared" si="20"/>
        <v>22277.580000000005</v>
      </c>
      <c r="O54" s="469">
        <v>0.3</v>
      </c>
    </row>
    <row r="55" spans="2:15" s="8" customFormat="1" ht="13.5">
      <c r="D55" s="468" t="s">
        <v>600</v>
      </c>
      <c r="E55" s="293"/>
      <c r="F55" s="293"/>
      <c r="G55" s="293"/>
      <c r="H55" s="293"/>
      <c r="I55" s="293"/>
      <c r="J55" s="293">
        <v>6000</v>
      </c>
      <c r="K55" s="293">
        <f>J55 * ( 1 +$O55)</f>
        <v>7800</v>
      </c>
      <c r="L55" s="293">
        <f t="shared" ref="L55:M55" si="21">K55 * ( 1 +$O55)</f>
        <v>10140</v>
      </c>
      <c r="M55" s="293">
        <f t="shared" si="21"/>
        <v>13182</v>
      </c>
      <c r="O55" s="469">
        <v>0.3</v>
      </c>
    </row>
    <row r="56" spans="2:15" s="8" customFormat="1" ht="13.5">
      <c r="D56" s="468" t="s">
        <v>601</v>
      </c>
      <c r="E56" s="293"/>
      <c r="F56" s="293"/>
      <c r="G56" s="293"/>
      <c r="H56" s="293"/>
      <c r="I56" s="293"/>
      <c r="J56" s="293"/>
      <c r="K56" s="293"/>
      <c r="L56" s="293">
        <v>6000</v>
      </c>
      <c r="M56" s="293">
        <f>L56 * ( 1 +$O56)</f>
        <v>7800</v>
      </c>
      <c r="O56" s="469">
        <v>0.3</v>
      </c>
    </row>
    <row r="57" spans="2:15" s="8" customFormat="1" ht="13.5">
      <c r="D57" s="471" t="s">
        <v>569</v>
      </c>
      <c r="E57" s="472">
        <f>SUM(E54:E56) * E53</f>
        <v>0</v>
      </c>
      <c r="F57" s="472">
        <f t="shared" ref="F57:M57" si="22">SUM(F54:F56) * F53</f>
        <v>0</v>
      </c>
      <c r="G57" s="472">
        <f t="shared" si="22"/>
        <v>0</v>
      </c>
      <c r="H57" s="472">
        <f t="shared" si="22"/>
        <v>300</v>
      </c>
      <c r="I57" s="472">
        <f t="shared" si="22"/>
        <v>390</v>
      </c>
      <c r="J57" s="472">
        <f t="shared" si="22"/>
        <v>807</v>
      </c>
      <c r="K57" s="472">
        <f t="shared" si="22"/>
        <v>1049.1000000000001</v>
      </c>
      <c r="L57" s="472">
        <f t="shared" si="22"/>
        <v>1663.8300000000004</v>
      </c>
      <c r="M57" s="472">
        <f t="shared" si="22"/>
        <v>2162.9790000000003</v>
      </c>
      <c r="O57" s="469"/>
    </row>
    <row r="58" spans="2:15" s="8" customFormat="1" ht="3.75" customHeight="1">
      <c r="O58" s="211"/>
    </row>
    <row r="59" spans="2:15" s="8" customFormat="1" ht="13.5">
      <c r="B59" s="476" t="s">
        <v>602</v>
      </c>
      <c r="C59" s="476"/>
      <c r="D59" s="476"/>
      <c r="E59" s="477">
        <f>SUM(E68:E73)</f>
        <v>2510</v>
      </c>
      <c r="F59" s="477">
        <f t="shared" ref="F59:M59" si="23">SUM(F68:F73)</f>
        <v>2780.6344827586208</v>
      </c>
      <c r="G59" s="477">
        <f t="shared" si="23"/>
        <v>4947.1426573426579</v>
      </c>
      <c r="H59" s="477">
        <f t="shared" si="23"/>
        <v>11873.097000000002</v>
      </c>
      <c r="I59" s="477">
        <f t="shared" si="23"/>
        <v>12232.755486000002</v>
      </c>
      <c r="J59" s="477">
        <f t="shared" si="23"/>
        <v>12593.783154456001</v>
      </c>
      <c r="K59" s="477">
        <f t="shared" si="23"/>
        <v>12955.068888819878</v>
      </c>
      <c r="L59" s="477">
        <f t="shared" si="23"/>
        <v>13315.362266843464</v>
      </c>
      <c r="M59" s="477">
        <f t="shared" si="23"/>
        <v>13981.130380185641</v>
      </c>
      <c r="O59" s="478"/>
    </row>
    <row r="60" spans="2:15" s="8" customFormat="1" ht="3.75" customHeight="1">
      <c r="O60" s="211"/>
    </row>
    <row r="61" spans="2:15" s="8" customFormat="1" ht="13.5">
      <c r="D61" s="468" t="s">
        <v>603</v>
      </c>
      <c r="E61" s="475">
        <v>0.44999999999999996</v>
      </c>
      <c r="F61" s="475">
        <v>0.5</v>
      </c>
      <c r="G61" s="475">
        <v>0.5</v>
      </c>
      <c r="H61" s="475">
        <v>0.5</v>
      </c>
      <c r="I61" s="469">
        <v>0.5</v>
      </c>
      <c r="J61" s="469">
        <v>0.5</v>
      </c>
      <c r="K61" s="469">
        <v>0.5</v>
      </c>
      <c r="L61" s="469">
        <v>0.5</v>
      </c>
      <c r="M61" s="469">
        <v>0.5</v>
      </c>
      <c r="N61" s="211"/>
      <c r="O61" s="469"/>
    </row>
    <row r="62" spans="2:15" s="8" customFormat="1" ht="13.5">
      <c r="D62" s="468" t="s">
        <v>604</v>
      </c>
      <c r="E62" s="475">
        <v>0</v>
      </c>
      <c r="F62" s="475">
        <v>0.6</v>
      </c>
      <c r="G62" s="475">
        <v>0.6</v>
      </c>
      <c r="H62" s="475">
        <v>0.6</v>
      </c>
      <c r="I62" s="469">
        <v>0.6</v>
      </c>
      <c r="J62" s="469">
        <v>0.6</v>
      </c>
      <c r="K62" s="469">
        <v>0.6</v>
      </c>
      <c r="L62" s="469">
        <v>0.6</v>
      </c>
      <c r="M62" s="469">
        <v>0.6</v>
      </c>
      <c r="N62" s="211"/>
      <c r="O62" s="469"/>
    </row>
    <row r="63" spans="2:15" s="8" customFormat="1" ht="13.5">
      <c r="D63" s="468" t="s">
        <v>643</v>
      </c>
      <c r="E63" s="475">
        <v>0.7</v>
      </c>
      <c r="F63" s="475">
        <v>0.71399999999999997</v>
      </c>
      <c r="G63" s="475">
        <v>0.72827999999999993</v>
      </c>
      <c r="H63" s="475">
        <v>0.74284559999999988</v>
      </c>
      <c r="I63" s="469">
        <v>0.75770251199999994</v>
      </c>
      <c r="J63" s="469">
        <v>0.77285656223999999</v>
      </c>
      <c r="K63" s="469">
        <v>0.78831369348479996</v>
      </c>
      <c r="L63" s="469">
        <v>0.80407996735449594</v>
      </c>
      <c r="M63" s="469">
        <v>0.80407996735449594</v>
      </c>
      <c r="N63" s="211"/>
      <c r="O63" s="469"/>
    </row>
    <row r="64" spans="2:15" s="8" customFormat="1" ht="13.5">
      <c r="D64" s="468" t="s">
        <v>605</v>
      </c>
      <c r="E64" s="475">
        <v>0.55000000000000004</v>
      </c>
      <c r="F64" s="475">
        <v>0.6</v>
      </c>
      <c r="G64" s="475">
        <v>0.7</v>
      </c>
      <c r="H64" s="475">
        <v>0.7</v>
      </c>
      <c r="I64" s="469">
        <v>0.7</v>
      </c>
      <c r="J64" s="469">
        <v>0.7</v>
      </c>
      <c r="K64" s="469">
        <v>0.7</v>
      </c>
      <c r="L64" s="469">
        <v>0.7</v>
      </c>
      <c r="M64" s="469">
        <v>0.7</v>
      </c>
      <c r="N64" s="211"/>
      <c r="O64" s="469"/>
    </row>
    <row r="65" spans="2:15" s="8" customFormat="1" ht="13.5">
      <c r="D65" s="468" t="s">
        <v>606</v>
      </c>
      <c r="E65" s="475">
        <v>0</v>
      </c>
      <c r="F65" s="475">
        <v>0.6</v>
      </c>
      <c r="G65" s="475">
        <v>0.7</v>
      </c>
      <c r="H65" s="475">
        <v>0.7</v>
      </c>
      <c r="I65" s="469">
        <v>0.7</v>
      </c>
      <c r="J65" s="469">
        <v>0.7</v>
      </c>
      <c r="K65" s="469">
        <v>0.7</v>
      </c>
      <c r="L65" s="469">
        <v>0.7</v>
      </c>
      <c r="M65" s="469">
        <v>0.7</v>
      </c>
      <c r="N65" s="211"/>
      <c r="O65" s="469"/>
    </row>
    <row r="66" spans="2:15" s="8" customFormat="1" ht="13.5">
      <c r="D66" s="468" t="s">
        <v>607</v>
      </c>
      <c r="E66" s="475">
        <v>0.55000000000000004</v>
      </c>
      <c r="F66" s="475">
        <v>0.7931034482758621</v>
      </c>
      <c r="G66" s="475">
        <v>0.83216783216783219</v>
      </c>
      <c r="H66" s="475">
        <v>0.7</v>
      </c>
      <c r="I66" s="469">
        <v>0.7</v>
      </c>
      <c r="J66" s="469">
        <v>0.7</v>
      </c>
      <c r="K66" s="469">
        <v>0.7</v>
      </c>
      <c r="L66" s="469">
        <v>0.7</v>
      </c>
      <c r="M66" s="469">
        <v>0.7</v>
      </c>
      <c r="N66" s="211"/>
      <c r="O66" s="469"/>
    </row>
    <row r="67" spans="2:15" s="8" customFormat="1" ht="3.75" customHeight="1">
      <c r="D67" s="468"/>
      <c r="E67" s="293"/>
      <c r="F67" s="293"/>
      <c r="G67" s="293"/>
      <c r="H67" s="293"/>
      <c r="I67" s="470"/>
      <c r="J67" s="470"/>
      <c r="K67" s="470"/>
      <c r="L67" s="470"/>
      <c r="M67" s="470"/>
      <c r="O67" s="211"/>
    </row>
    <row r="68" spans="2:15" s="8" customFormat="1" ht="13.5">
      <c r="D68" s="468" t="s">
        <v>570</v>
      </c>
      <c r="E68" s="293">
        <f>E$11 *( 1 -  E$61)</f>
        <v>440.00000000000006</v>
      </c>
      <c r="F68" s="293">
        <f t="shared" ref="F68:M68" si="24">F$11 *( 1 -  F$61)</f>
        <v>800</v>
      </c>
      <c r="G68" s="293">
        <f t="shared" si="24"/>
        <v>1300</v>
      </c>
      <c r="H68" s="293">
        <f t="shared" si="24"/>
        <v>1800</v>
      </c>
      <c r="I68" s="293">
        <f t="shared" si="24"/>
        <v>1890</v>
      </c>
      <c r="J68" s="293">
        <f t="shared" si="24"/>
        <v>1984.5</v>
      </c>
      <c r="K68" s="293">
        <f t="shared" si="24"/>
        <v>2083.7249999999999</v>
      </c>
      <c r="L68" s="293">
        <f t="shared" si="24"/>
        <v>2187.9112500000001</v>
      </c>
      <c r="M68" s="293">
        <f t="shared" si="24"/>
        <v>2297.3068125000004</v>
      </c>
      <c r="O68" s="211"/>
    </row>
    <row r="69" spans="2:15" s="8" customFormat="1" ht="13.5">
      <c r="D69" s="468" t="s">
        <v>571</v>
      </c>
      <c r="E69" s="293">
        <f>E$17 * ( 1 - E$62 )</f>
        <v>0</v>
      </c>
      <c r="F69" s="293">
        <f t="shared" ref="F69:M69" si="25">F$17 * ( 1 - F$62 )</f>
        <v>160</v>
      </c>
      <c r="G69" s="293">
        <f t="shared" si="25"/>
        <v>560</v>
      </c>
      <c r="H69" s="293">
        <f t="shared" si="25"/>
        <v>1920</v>
      </c>
      <c r="I69" s="293">
        <f t="shared" si="25"/>
        <v>2016</v>
      </c>
      <c r="J69" s="293">
        <f t="shared" si="25"/>
        <v>2116.8000000000002</v>
      </c>
      <c r="K69" s="293">
        <f t="shared" si="25"/>
        <v>2222.6400000000003</v>
      </c>
      <c r="L69" s="293">
        <f t="shared" si="25"/>
        <v>2333.7720000000004</v>
      </c>
      <c r="M69" s="293">
        <f t="shared" si="25"/>
        <v>2450.4606000000003</v>
      </c>
      <c r="O69" s="211"/>
    </row>
    <row r="70" spans="2:15" s="8" customFormat="1" ht="13.5">
      <c r="D70" s="468" t="s">
        <v>643</v>
      </c>
      <c r="E70" s="293">
        <f>E$23 * ( 1 - E$63)</f>
        <v>0</v>
      </c>
      <c r="F70" s="293">
        <f t="shared" ref="F70:M70" si="26">F$23 * ( 1 - F$63)</f>
        <v>0</v>
      </c>
      <c r="G70" s="293">
        <f t="shared" si="26"/>
        <v>815.1600000000002</v>
      </c>
      <c r="H70" s="293">
        <f t="shared" si="26"/>
        <v>3857.3160000000016</v>
      </c>
      <c r="I70" s="293">
        <f t="shared" si="26"/>
        <v>3816.1854360000011</v>
      </c>
      <c r="J70" s="293">
        <f t="shared" si="26"/>
        <v>3756.3846019560001</v>
      </c>
      <c r="K70" s="293">
        <f t="shared" si="26"/>
        <v>3675.8004086948768</v>
      </c>
      <c r="L70" s="293">
        <f t="shared" si="26"/>
        <v>3572.1303627122134</v>
      </c>
      <c r="M70" s="293">
        <f t="shared" si="26"/>
        <v>3750.7368808478241</v>
      </c>
      <c r="O70" s="211"/>
    </row>
    <row r="71" spans="2:15" s="8" customFormat="1" ht="13.5">
      <c r="D71" s="468" t="s">
        <v>572</v>
      </c>
      <c r="E71" s="293">
        <f>E$30 * ( 1 - E$64 )</f>
        <v>224.99999999999997</v>
      </c>
      <c r="F71" s="293">
        <f t="shared" ref="F71:M71" si="27">F$30 * ( 1 - F$64 )</f>
        <v>726.40000000000009</v>
      </c>
      <c r="G71" s="293">
        <f t="shared" si="27"/>
        <v>829.08000000000027</v>
      </c>
      <c r="H71" s="293">
        <f t="shared" si="27"/>
        <v>1140.4260000000004</v>
      </c>
      <c r="I71" s="293">
        <f t="shared" si="27"/>
        <v>1197.4473000000005</v>
      </c>
      <c r="J71" s="293">
        <f t="shared" si="27"/>
        <v>1257.3196650000004</v>
      </c>
      <c r="K71" s="293">
        <f t="shared" si="27"/>
        <v>1320.1856482500002</v>
      </c>
      <c r="L71" s="293">
        <f t="shared" si="27"/>
        <v>1386.1949306625006</v>
      </c>
      <c r="M71" s="293">
        <f t="shared" si="27"/>
        <v>1455.5046771956256</v>
      </c>
      <c r="O71" s="211"/>
    </row>
    <row r="72" spans="2:15" s="8" customFormat="1" ht="13.5">
      <c r="D72" s="468" t="s">
        <v>573</v>
      </c>
      <c r="E72" s="293">
        <f>E$36 * ( 1 - E$65 )</f>
        <v>0</v>
      </c>
      <c r="F72" s="293">
        <f t="shared" ref="F72:M72" si="28">F$36 * ( 1 - F$65 )</f>
        <v>163.20000000000002</v>
      </c>
      <c r="G72" s="293">
        <f t="shared" si="28"/>
        <v>385.56000000000006</v>
      </c>
      <c r="H72" s="293">
        <f t="shared" si="28"/>
        <v>674.73000000000025</v>
      </c>
      <c r="I72" s="293">
        <f t="shared" si="28"/>
        <v>708.46650000000034</v>
      </c>
      <c r="J72" s="293">
        <f t="shared" si="28"/>
        <v>743.88982500000031</v>
      </c>
      <c r="K72" s="293">
        <f t="shared" si="28"/>
        <v>781.08431625000037</v>
      </c>
      <c r="L72" s="293">
        <f t="shared" si="28"/>
        <v>820.1385320625003</v>
      </c>
      <c r="M72" s="293">
        <f t="shared" si="28"/>
        <v>861.14545866562548</v>
      </c>
      <c r="O72" s="211"/>
    </row>
    <row r="73" spans="2:15" s="8" customFormat="1" ht="13.5">
      <c r="D73" s="468" t="s">
        <v>574</v>
      </c>
      <c r="E73" s="293">
        <f>E$42 * ( 1 - E$66 )</f>
        <v>1844.9999999999998</v>
      </c>
      <c r="F73" s="293">
        <f t="shared" ref="F73:M73" si="29">F$42 * ( 1 - F$66 )</f>
        <v>931.03448275862058</v>
      </c>
      <c r="G73" s="293">
        <f t="shared" si="29"/>
        <v>1057.3426573426573</v>
      </c>
      <c r="H73" s="293">
        <f t="shared" si="29"/>
        <v>2480.6250000000005</v>
      </c>
      <c r="I73" s="293">
        <f t="shared" si="29"/>
        <v>2604.6562500000005</v>
      </c>
      <c r="J73" s="293">
        <f t="shared" si="29"/>
        <v>2734.8890625000004</v>
      </c>
      <c r="K73" s="293">
        <f t="shared" si="29"/>
        <v>2871.6335156250007</v>
      </c>
      <c r="L73" s="293">
        <f t="shared" si="29"/>
        <v>3015.2151914062511</v>
      </c>
      <c r="M73" s="293">
        <f t="shared" si="29"/>
        <v>3165.975950976564</v>
      </c>
      <c r="O73" s="211"/>
    </row>
    <row r="74" spans="2:15" s="8" customFormat="1" ht="3.75" customHeight="1">
      <c r="O74" s="211"/>
    </row>
    <row r="75" spans="2:15" s="8" customFormat="1" ht="13.5">
      <c r="B75" s="476" t="s">
        <v>608</v>
      </c>
      <c r="C75" s="476"/>
      <c r="D75" s="476"/>
      <c r="E75" s="477">
        <f>SUM(E77:E83)</f>
        <v>2890</v>
      </c>
      <c r="F75" s="477">
        <f t="shared" ref="F75:M75" si="30">SUM(F77:F83)</f>
        <v>10143.36551724138</v>
      </c>
      <c r="G75" s="477">
        <f t="shared" si="30"/>
        <v>17362.907342657345</v>
      </c>
      <c r="H75" s="477">
        <f t="shared" si="30"/>
        <v>31934.297999999995</v>
      </c>
      <c r="I75" s="477">
        <f t="shared" si="30"/>
        <v>33840.009264000008</v>
      </c>
      <c r="J75" s="477">
        <f t="shared" si="30"/>
        <v>36180.119833044002</v>
      </c>
      <c r="K75" s="477">
        <f t="shared" si="30"/>
        <v>38459.279248055122</v>
      </c>
      <c r="L75" s="477">
        <f t="shared" si="30"/>
        <v>41231.978276875292</v>
      </c>
      <c r="M75" s="477">
        <f t="shared" si="30"/>
        <v>43709.534690719054</v>
      </c>
      <c r="O75" s="211"/>
    </row>
    <row r="76" spans="2:15" s="8" customFormat="1" ht="3.75" customHeight="1">
      <c r="O76" s="211"/>
    </row>
    <row r="77" spans="2:15" s="8" customFormat="1" ht="13.5">
      <c r="D77" s="468" t="s">
        <v>562</v>
      </c>
      <c r="E77" s="293">
        <f>E11 - E68</f>
        <v>359.99999999999994</v>
      </c>
      <c r="F77" s="293">
        <f t="shared" ref="F77:M77" si="31">F11 - F68</f>
        <v>800</v>
      </c>
      <c r="G77" s="293">
        <f t="shared" si="31"/>
        <v>1300</v>
      </c>
      <c r="H77" s="293">
        <f t="shared" si="31"/>
        <v>1800</v>
      </c>
      <c r="I77" s="293">
        <f t="shared" si="31"/>
        <v>1890</v>
      </c>
      <c r="J77" s="293">
        <f t="shared" si="31"/>
        <v>1984.5</v>
      </c>
      <c r="K77" s="293">
        <f t="shared" si="31"/>
        <v>2083.7249999999999</v>
      </c>
      <c r="L77" s="293">
        <f t="shared" si="31"/>
        <v>2187.9112500000001</v>
      </c>
      <c r="M77" s="293">
        <f t="shared" si="31"/>
        <v>2297.3068125000004</v>
      </c>
      <c r="O77" s="211"/>
    </row>
    <row r="78" spans="2:15" s="8" customFormat="1" ht="13.5">
      <c r="D78" s="468" t="s">
        <v>563</v>
      </c>
      <c r="E78" s="293">
        <f>E17 - E69</f>
        <v>0</v>
      </c>
      <c r="F78" s="293">
        <f t="shared" ref="F78:M78" si="32">F17 - F69</f>
        <v>240</v>
      </c>
      <c r="G78" s="293">
        <f t="shared" si="32"/>
        <v>840</v>
      </c>
      <c r="H78" s="293">
        <f t="shared" si="32"/>
        <v>2880</v>
      </c>
      <c r="I78" s="293">
        <f t="shared" si="32"/>
        <v>3024</v>
      </c>
      <c r="J78" s="293">
        <f t="shared" si="32"/>
        <v>3175.2</v>
      </c>
      <c r="K78" s="293">
        <f t="shared" si="32"/>
        <v>3333.96</v>
      </c>
      <c r="L78" s="293">
        <f t="shared" si="32"/>
        <v>3500.6579999999999</v>
      </c>
      <c r="M78" s="293">
        <f t="shared" si="32"/>
        <v>3675.6909000000005</v>
      </c>
      <c r="O78" s="211"/>
    </row>
    <row r="79" spans="2:15" s="8" customFormat="1" ht="13.5">
      <c r="D79" s="468" t="s">
        <v>643</v>
      </c>
      <c r="E79" s="293">
        <f>E23 - E70</f>
        <v>0</v>
      </c>
      <c r="F79" s="293">
        <f t="shared" ref="F79:M79" si="33">F23 - F70</f>
        <v>0</v>
      </c>
      <c r="G79" s="293">
        <f t="shared" si="33"/>
        <v>2184.8399999999997</v>
      </c>
      <c r="H79" s="293">
        <f t="shared" si="33"/>
        <v>11142.683999999997</v>
      </c>
      <c r="I79" s="293">
        <f t="shared" si="33"/>
        <v>11933.814563999998</v>
      </c>
      <c r="J79" s="293">
        <f t="shared" si="33"/>
        <v>12781.115398043999</v>
      </c>
      <c r="K79" s="293">
        <f t="shared" si="33"/>
        <v>13688.574591305123</v>
      </c>
      <c r="L79" s="293">
        <f t="shared" si="33"/>
        <v>14660.463387287786</v>
      </c>
      <c r="M79" s="293">
        <f t="shared" si="33"/>
        <v>15393.486556652177</v>
      </c>
      <c r="O79" s="211"/>
    </row>
    <row r="80" spans="2:15" s="8" customFormat="1" ht="13.5">
      <c r="D80" s="468" t="s">
        <v>564</v>
      </c>
      <c r="E80" s="293">
        <f>E30 - E71</f>
        <v>275</v>
      </c>
      <c r="F80" s="293">
        <f t="shared" ref="F80:M80" si="34">F30 - F71</f>
        <v>1089.5999999999999</v>
      </c>
      <c r="G80" s="293">
        <f t="shared" si="34"/>
        <v>1934.52</v>
      </c>
      <c r="H80" s="293">
        <f t="shared" si="34"/>
        <v>2660.9940000000001</v>
      </c>
      <c r="I80" s="293">
        <f t="shared" si="34"/>
        <v>2794.0437000000002</v>
      </c>
      <c r="J80" s="293">
        <f t="shared" si="34"/>
        <v>2933.7458850000007</v>
      </c>
      <c r="K80" s="293">
        <f t="shared" si="34"/>
        <v>3080.4331792500002</v>
      </c>
      <c r="L80" s="293">
        <f t="shared" si="34"/>
        <v>3234.4548382125008</v>
      </c>
      <c r="M80" s="293">
        <f t="shared" si="34"/>
        <v>3396.1775801231252</v>
      </c>
      <c r="O80" s="211"/>
    </row>
    <row r="81" spans="4:16" s="8" customFormat="1" ht="13.5">
      <c r="D81" s="468" t="s">
        <v>565</v>
      </c>
      <c r="E81" s="293">
        <f>E36 - E72</f>
        <v>0</v>
      </c>
      <c r="F81" s="293">
        <f t="shared" ref="F81:M81" si="35">F36 - F72</f>
        <v>244.79999999999998</v>
      </c>
      <c r="G81" s="293">
        <f t="shared" si="35"/>
        <v>899.64</v>
      </c>
      <c r="H81" s="293">
        <f t="shared" si="35"/>
        <v>1574.3700000000001</v>
      </c>
      <c r="I81" s="293">
        <f t="shared" si="35"/>
        <v>1653.0885000000003</v>
      </c>
      <c r="J81" s="293">
        <f t="shared" si="35"/>
        <v>1735.7429250000005</v>
      </c>
      <c r="K81" s="293">
        <f t="shared" si="35"/>
        <v>1822.5300712500002</v>
      </c>
      <c r="L81" s="293">
        <f t="shared" si="35"/>
        <v>1913.6565748125004</v>
      </c>
      <c r="M81" s="293">
        <f t="shared" si="35"/>
        <v>2009.3394035531255</v>
      </c>
      <c r="O81" s="211"/>
    </row>
    <row r="82" spans="4:16" s="8" customFormat="1" ht="13.5">
      <c r="D82" s="468" t="s">
        <v>609</v>
      </c>
      <c r="E82" s="293">
        <f>(E42 + E46 + E51 + E57) - E73</f>
        <v>2255</v>
      </c>
      <c r="F82" s="293">
        <f t="shared" ref="F82:M82" si="36">(F42 + F46 + F51 + F57) - F73</f>
        <v>7768.9655172413795</v>
      </c>
      <c r="G82" s="293">
        <f t="shared" si="36"/>
        <v>10203.907342657343</v>
      </c>
      <c r="H82" s="293">
        <f t="shared" si="36"/>
        <v>11876.25</v>
      </c>
      <c r="I82" s="293">
        <f t="shared" si="36"/>
        <v>12545.0625</v>
      </c>
      <c r="J82" s="293">
        <f t="shared" si="36"/>
        <v>13569.815625000001</v>
      </c>
      <c r="K82" s="293">
        <f t="shared" si="36"/>
        <v>14450.05640625</v>
      </c>
      <c r="L82" s="293">
        <f t="shared" si="36"/>
        <v>15734.834226562505</v>
      </c>
      <c r="M82" s="293">
        <f t="shared" si="36"/>
        <v>16937.533437890626</v>
      </c>
      <c r="O82" s="211"/>
    </row>
    <row r="83" spans="4:16" s="8" customFormat="1" ht="3.75" customHeight="1">
      <c r="O83" s="211"/>
    </row>
    <row r="84" spans="4:16" s="8" customFormat="1" ht="13.5">
      <c r="D84" s="468" t="s">
        <v>562</v>
      </c>
      <c r="E84" s="475">
        <f>IFERROR(E77 / E11, 0)</f>
        <v>0.44999999999999996</v>
      </c>
      <c r="F84" s="475">
        <f t="shared" ref="F84:M84" si="37">IFERROR(F77 / F11, 0)</f>
        <v>0.5</v>
      </c>
      <c r="G84" s="475">
        <f t="shared" si="37"/>
        <v>0.5</v>
      </c>
      <c r="H84" s="475">
        <f t="shared" si="37"/>
        <v>0.5</v>
      </c>
      <c r="I84" s="475">
        <f t="shared" si="37"/>
        <v>0.5</v>
      </c>
      <c r="J84" s="475">
        <f t="shared" si="37"/>
        <v>0.5</v>
      </c>
      <c r="K84" s="475">
        <f t="shared" si="37"/>
        <v>0.5</v>
      </c>
      <c r="L84" s="475">
        <f t="shared" si="37"/>
        <v>0.5</v>
      </c>
      <c r="M84" s="475">
        <f t="shared" si="37"/>
        <v>0.5</v>
      </c>
      <c r="O84" s="211"/>
    </row>
    <row r="85" spans="4:16" s="8" customFormat="1" ht="13.5">
      <c r="D85" s="468" t="s">
        <v>563</v>
      </c>
      <c r="E85" s="475">
        <f>IFERROR(E78 / E17, 0)</f>
        <v>0</v>
      </c>
      <c r="F85" s="475">
        <f t="shared" ref="F85:M85" si="38">IFERROR(F78 / F17, 0)</f>
        <v>0.6</v>
      </c>
      <c r="G85" s="475">
        <f t="shared" si="38"/>
        <v>0.6</v>
      </c>
      <c r="H85" s="475">
        <f t="shared" si="38"/>
        <v>0.6</v>
      </c>
      <c r="I85" s="475">
        <f t="shared" si="38"/>
        <v>0.6</v>
      </c>
      <c r="J85" s="475">
        <f t="shared" si="38"/>
        <v>0.6</v>
      </c>
      <c r="K85" s="475">
        <f t="shared" si="38"/>
        <v>0.6</v>
      </c>
      <c r="L85" s="475">
        <f t="shared" si="38"/>
        <v>0.6</v>
      </c>
      <c r="M85" s="475">
        <f t="shared" si="38"/>
        <v>0.6</v>
      </c>
      <c r="O85" s="211"/>
    </row>
    <row r="86" spans="4:16" s="8" customFormat="1" ht="13.5">
      <c r="D86" s="468" t="s">
        <v>643</v>
      </c>
      <c r="E86" s="475">
        <f>IFERROR(E79 / E23, 0)</f>
        <v>0</v>
      </c>
      <c r="F86" s="475">
        <f t="shared" ref="F86:M86" si="39">IFERROR(F79 / F23, 0)</f>
        <v>0</v>
      </c>
      <c r="G86" s="475">
        <f t="shared" si="39"/>
        <v>0.72827999999999993</v>
      </c>
      <c r="H86" s="475">
        <f t="shared" si="39"/>
        <v>0.74284559999999988</v>
      </c>
      <c r="I86" s="475">
        <f t="shared" si="39"/>
        <v>0.75770251199999994</v>
      </c>
      <c r="J86" s="475">
        <f t="shared" si="39"/>
        <v>0.77285656223999999</v>
      </c>
      <c r="K86" s="475">
        <f t="shared" si="39"/>
        <v>0.78831369348479996</v>
      </c>
      <c r="L86" s="475">
        <f t="shared" si="39"/>
        <v>0.80407996735449594</v>
      </c>
      <c r="M86" s="475">
        <f t="shared" si="39"/>
        <v>0.80407996735449594</v>
      </c>
      <c r="O86" s="211"/>
    </row>
    <row r="87" spans="4:16" s="8" customFormat="1" ht="13.5">
      <c r="D87" s="468" t="s">
        <v>564</v>
      </c>
      <c r="E87" s="475">
        <f>IFERROR(E80/E30,0)</f>
        <v>0.55000000000000004</v>
      </c>
      <c r="F87" s="475">
        <f t="shared" ref="F87:M87" si="40">IFERROR(F80/F30,0)</f>
        <v>0.6</v>
      </c>
      <c r="G87" s="475">
        <f t="shared" si="40"/>
        <v>0.7</v>
      </c>
      <c r="H87" s="475">
        <f t="shared" si="40"/>
        <v>0.7</v>
      </c>
      <c r="I87" s="475">
        <f t="shared" si="40"/>
        <v>0.69999999999999984</v>
      </c>
      <c r="J87" s="475">
        <f t="shared" si="40"/>
        <v>0.7</v>
      </c>
      <c r="K87" s="475">
        <f t="shared" si="40"/>
        <v>0.7</v>
      </c>
      <c r="L87" s="475">
        <f t="shared" si="40"/>
        <v>0.7</v>
      </c>
      <c r="M87" s="475">
        <f t="shared" si="40"/>
        <v>0.69999999999999984</v>
      </c>
      <c r="O87" s="211"/>
    </row>
    <row r="88" spans="4:16" s="8" customFormat="1" ht="13.5">
      <c r="D88" s="468" t="s">
        <v>565</v>
      </c>
      <c r="E88" s="475">
        <f>IFERROR( E81 / E36, 0)</f>
        <v>0</v>
      </c>
      <c r="F88" s="475">
        <f t="shared" ref="F88:M88" si="41">IFERROR( F81 / F36, 0)</f>
        <v>0.6</v>
      </c>
      <c r="G88" s="475">
        <f t="shared" si="41"/>
        <v>0.7</v>
      </c>
      <c r="H88" s="475">
        <f t="shared" si="41"/>
        <v>0.7</v>
      </c>
      <c r="I88" s="475">
        <f t="shared" si="41"/>
        <v>0.7</v>
      </c>
      <c r="J88" s="475">
        <f t="shared" si="41"/>
        <v>0.7</v>
      </c>
      <c r="K88" s="475">
        <f t="shared" si="41"/>
        <v>0.69999999999999984</v>
      </c>
      <c r="L88" s="475">
        <f t="shared" si="41"/>
        <v>0.7</v>
      </c>
      <c r="M88" s="475">
        <f t="shared" si="41"/>
        <v>0.7</v>
      </c>
      <c r="O88" s="211"/>
    </row>
    <row r="89" spans="4:16" s="8" customFormat="1" ht="13.5">
      <c r="D89" s="468" t="s">
        <v>609</v>
      </c>
      <c r="E89" s="475">
        <f>IFERROR( E82 / (E42 + E46 + E51 + E57), 0)</f>
        <v>0.55000000000000004</v>
      </c>
      <c r="F89" s="475">
        <f t="shared" ref="F89:M89" si="42">IFERROR( F82 / (F42 + F46 + F51 + F57), 0)</f>
        <v>0.8929845422116528</v>
      </c>
      <c r="G89" s="475">
        <f t="shared" si="42"/>
        <v>0.90610787813585025</v>
      </c>
      <c r="H89" s="475">
        <f t="shared" si="42"/>
        <v>0.82721692568891214</v>
      </c>
      <c r="I89" s="475">
        <f t="shared" si="42"/>
        <v>0.82807230332246262</v>
      </c>
      <c r="J89" s="475">
        <f t="shared" si="42"/>
        <v>0.83226380882588435</v>
      </c>
      <c r="K89" s="475">
        <f t="shared" si="42"/>
        <v>0.83421747366586285</v>
      </c>
      <c r="L89" s="475">
        <f t="shared" si="42"/>
        <v>0.83918894696263169</v>
      </c>
      <c r="M89" s="475">
        <f t="shared" si="42"/>
        <v>0.84251625476247438</v>
      </c>
      <c r="O89" s="211"/>
    </row>
    <row r="90" spans="4:16" s="8" customFormat="1" ht="3.75" customHeight="1">
      <c r="O90" s="211"/>
    </row>
    <row r="91" spans="4:16" s="271" customFormat="1">
      <c r="D91" s="485" t="s">
        <v>617</v>
      </c>
      <c r="E91" s="486">
        <f>-E59</f>
        <v>-2510</v>
      </c>
      <c r="F91" s="486">
        <f t="shared" ref="F91:M91" si="43">-F59</f>
        <v>-2780.6344827586208</v>
      </c>
      <c r="G91" s="486">
        <f t="shared" si="43"/>
        <v>-4947.1426573426579</v>
      </c>
      <c r="H91" s="486">
        <f t="shared" si="43"/>
        <v>-11873.097000000002</v>
      </c>
      <c r="I91" s="486">
        <f t="shared" si="43"/>
        <v>-12232.755486000002</v>
      </c>
      <c r="J91" s="486">
        <f t="shared" si="43"/>
        <v>-12593.783154456001</v>
      </c>
      <c r="K91" s="486">
        <f t="shared" si="43"/>
        <v>-12955.068888819878</v>
      </c>
      <c r="L91" s="486">
        <f t="shared" si="43"/>
        <v>-13315.362266843464</v>
      </c>
      <c r="M91" s="486">
        <f t="shared" si="43"/>
        <v>-13981.130380185641</v>
      </c>
      <c r="N91" s="486"/>
      <c r="P91" s="292"/>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3ABD4-05A7-41CA-AD4B-21F34F118C7E}">
  <sheetPr>
    <tabColor theme="8" tint="-0.499984740745262"/>
    <pageSetUpPr fitToPage="1"/>
  </sheetPr>
  <dimension ref="A1:U277"/>
  <sheetViews>
    <sheetView workbookViewId="0"/>
  </sheetViews>
  <sheetFormatPr defaultColWidth="0" defaultRowHeight="13.5"/>
  <cols>
    <col min="1" max="1" width="1.5546875" style="8" customWidth="1"/>
    <col min="2" max="2" width="34.5546875" style="8" bestFit="1" customWidth="1"/>
    <col min="3" max="3" width="11.44140625" style="8" bestFit="1" customWidth="1"/>
    <col min="4" max="4" width="10.6640625" style="8" bestFit="1" customWidth="1"/>
    <col min="5" max="12" width="11.5546875" style="8" bestFit="1" customWidth="1"/>
    <col min="13" max="13" width="1.5546875" style="8" customWidth="1"/>
    <col min="14" max="14" width="16" style="8" bestFit="1" customWidth="1"/>
    <col min="15" max="15" width="1.5546875" style="8" customWidth="1"/>
    <col min="16" max="16" width="37.44140625" style="8" customWidth="1"/>
    <col min="17" max="17" width="1.5546875" style="8" customWidth="1"/>
    <col min="18" max="21" width="0" style="8" hidden="1" customWidth="1"/>
    <col min="22" max="16384" width="8.5546875" style="8" hidden="1"/>
  </cols>
  <sheetData>
    <row r="1" spans="1:20" ht="70.5" customHeight="1">
      <c r="A1" s="452"/>
      <c r="B1" s="10" t="s">
        <v>79</v>
      </c>
      <c r="C1" s="11"/>
      <c r="D1" s="11"/>
      <c r="E1" s="11"/>
      <c r="F1" s="11"/>
      <c r="G1" s="11"/>
      <c r="H1" s="11"/>
      <c r="I1" s="11"/>
      <c r="J1" s="11"/>
      <c r="K1" s="11"/>
      <c r="L1" s="11"/>
      <c r="M1" s="11"/>
      <c r="N1" s="11"/>
      <c r="O1" s="11"/>
      <c r="P1" s="11"/>
      <c r="Q1" s="11"/>
      <c r="R1" s="11"/>
      <c r="S1" s="11"/>
      <c r="T1" s="11"/>
    </row>
    <row r="2" spans="1:20">
      <c r="E2" s="515"/>
      <c r="F2" s="515"/>
      <c r="G2" s="515"/>
      <c r="H2" s="515"/>
      <c r="I2" s="515"/>
      <c r="J2" s="515"/>
      <c r="K2" s="515"/>
      <c r="L2" s="515"/>
    </row>
    <row r="3" spans="1:20">
      <c r="B3" s="439" t="s">
        <v>64</v>
      </c>
      <c r="C3" s="440">
        <v>2022</v>
      </c>
      <c r="D3" s="440">
        <f t="shared" ref="D3:L3" si="0">C3+1</f>
        <v>2023</v>
      </c>
      <c r="E3" s="440">
        <f t="shared" si="0"/>
        <v>2024</v>
      </c>
      <c r="F3" s="440">
        <f t="shared" si="0"/>
        <v>2025</v>
      </c>
      <c r="G3" s="440">
        <f t="shared" si="0"/>
        <v>2026</v>
      </c>
      <c r="H3" s="440">
        <f t="shared" si="0"/>
        <v>2027</v>
      </c>
      <c r="I3" s="440">
        <f t="shared" si="0"/>
        <v>2028</v>
      </c>
      <c r="J3" s="440">
        <f t="shared" si="0"/>
        <v>2029</v>
      </c>
      <c r="K3" s="440">
        <f t="shared" si="0"/>
        <v>2030</v>
      </c>
      <c r="L3" s="440">
        <f t="shared" si="0"/>
        <v>2031</v>
      </c>
      <c r="N3" s="440" t="s">
        <v>178</v>
      </c>
      <c r="P3" s="440" t="s">
        <v>65</v>
      </c>
    </row>
    <row r="4" spans="1:20" ht="3.75" customHeight="1">
      <c r="B4" s="100"/>
    </row>
    <row r="5" spans="1:20">
      <c r="B5" s="464" t="s">
        <v>79</v>
      </c>
      <c r="C5" s="465"/>
      <c r="D5" s="465"/>
      <c r="E5" s="465"/>
      <c r="F5" s="465"/>
      <c r="G5" s="465"/>
      <c r="H5" s="465"/>
      <c r="I5" s="465"/>
      <c r="J5" s="465"/>
      <c r="K5" s="465"/>
      <c r="L5" s="465"/>
      <c r="N5" s="465"/>
      <c r="P5" s="465"/>
    </row>
    <row r="6" spans="1:20" ht="3.75" customHeight="1">
      <c r="B6" s="103"/>
      <c r="C6" s="198"/>
      <c r="D6" s="198"/>
      <c r="E6" s="198"/>
      <c r="F6" s="198"/>
      <c r="G6" s="198"/>
      <c r="H6" s="198"/>
      <c r="I6" s="198"/>
      <c r="J6" s="198"/>
      <c r="K6" s="198"/>
      <c r="L6" s="198"/>
      <c r="N6" s="198"/>
      <c r="P6" s="198"/>
    </row>
    <row r="7" spans="1:20">
      <c r="B7" s="431" t="s">
        <v>610</v>
      </c>
      <c r="C7" s="431"/>
      <c r="D7" s="431"/>
      <c r="E7" s="431"/>
      <c r="F7" s="431"/>
      <c r="G7" s="431"/>
      <c r="H7" s="431"/>
      <c r="I7" s="431"/>
      <c r="J7" s="431"/>
      <c r="K7" s="431"/>
      <c r="L7" s="431"/>
      <c r="N7" s="431"/>
      <c r="P7" s="431"/>
    </row>
    <row r="8" spans="1:20" ht="3.75" customHeight="1">
      <c r="B8" s="124"/>
      <c r="C8" s="125"/>
      <c r="D8" s="125"/>
      <c r="E8" s="125"/>
      <c r="F8" s="125"/>
      <c r="G8" s="125"/>
      <c r="H8" s="125"/>
      <c r="I8" s="125"/>
      <c r="J8" s="125"/>
      <c r="K8" s="125"/>
      <c r="L8" s="125"/>
      <c r="N8" s="125"/>
      <c r="P8" s="198"/>
    </row>
    <row r="9" spans="1:20">
      <c r="B9" s="19" t="s">
        <v>179</v>
      </c>
      <c r="C9" s="22"/>
      <c r="D9" s="152">
        <v>8519.1135894739982</v>
      </c>
      <c r="E9" s="152">
        <v>7299.1343281999998</v>
      </c>
      <c r="F9" s="152">
        <v>8134.2251413279992</v>
      </c>
      <c r="G9" s="152">
        <v>10712.190550181116</v>
      </c>
      <c r="H9" s="152">
        <v>12952.555109916368</v>
      </c>
      <c r="I9" s="152">
        <v>13235</v>
      </c>
      <c r="J9" s="152">
        <v>15969.209702732156</v>
      </c>
      <c r="K9" s="152">
        <v>16607.978090841432</v>
      </c>
      <c r="L9" s="152">
        <f>K9 * (1 + $N9)</f>
        <v>17106.217433566675</v>
      </c>
      <c r="N9" s="212">
        <v>0.03</v>
      </c>
      <c r="P9" s="217"/>
    </row>
    <row r="10" spans="1:20">
      <c r="B10" s="19" t="s">
        <v>180</v>
      </c>
      <c r="C10" s="22"/>
      <c r="D10" s="152">
        <v>1465.7555350679997</v>
      </c>
      <c r="E10" s="152">
        <v>1327.1153323999999</v>
      </c>
      <c r="F10" s="152">
        <v>1478.950025696</v>
      </c>
      <c r="G10" s="152">
        <v>1947.6710091238394</v>
      </c>
      <c r="H10" s="152">
        <v>2355.0100199847943</v>
      </c>
      <c r="I10" s="152">
        <v>2671.3712407624271</v>
      </c>
      <c r="J10" s="152">
        <v>2903.4926732240283</v>
      </c>
      <c r="K10" s="152">
        <v>3019.6323801529875</v>
      </c>
      <c r="L10" s="152">
        <f t="shared" ref="L10:L11" si="1">K10 * (1 + $N10)</f>
        <v>3110.2213515575772</v>
      </c>
      <c r="N10" s="212">
        <v>0.03</v>
      </c>
      <c r="P10" s="217"/>
    </row>
    <row r="11" spans="1:20">
      <c r="B11" s="19" t="s">
        <v>181</v>
      </c>
      <c r="C11" s="22"/>
      <c r="D11" s="152">
        <v>1048.662</v>
      </c>
      <c r="E11" s="152">
        <v>1048.662</v>
      </c>
      <c r="F11" s="152">
        <v>1048.662</v>
      </c>
      <c r="G11" s="152">
        <v>1048.662</v>
      </c>
      <c r="H11" s="152">
        <v>1048.662</v>
      </c>
      <c r="I11" s="152">
        <v>1048.662</v>
      </c>
      <c r="J11" s="152">
        <v>1048.662</v>
      </c>
      <c r="K11" s="152">
        <v>1048.662</v>
      </c>
      <c r="L11" s="152">
        <f t="shared" si="1"/>
        <v>1048.662</v>
      </c>
      <c r="N11" s="212">
        <v>0</v>
      </c>
      <c r="P11" s="217"/>
    </row>
    <row r="12" spans="1:20">
      <c r="B12" s="19" t="s">
        <v>182</v>
      </c>
      <c r="C12" s="22"/>
      <c r="D12" s="152">
        <v>4037.909990000001</v>
      </c>
      <c r="E12" s="152">
        <f>D12 * ( 1 + $N12)</f>
        <v>4058.0995399500007</v>
      </c>
      <c r="F12" s="152">
        <f t="shared" ref="F12:L12" si="2">E12 * ( 1 + $N12)</f>
        <v>4078.3900376497504</v>
      </c>
      <c r="G12" s="152">
        <f t="shared" si="2"/>
        <v>4098.7819878379987</v>
      </c>
      <c r="H12" s="152">
        <f t="shared" si="2"/>
        <v>4119.2758977771882</v>
      </c>
      <c r="I12" s="152">
        <f t="shared" si="2"/>
        <v>4139.872277266074</v>
      </c>
      <c r="J12" s="152">
        <f t="shared" si="2"/>
        <v>4160.5716386524036</v>
      </c>
      <c r="K12" s="152">
        <f t="shared" si="2"/>
        <v>4181.3744968456649</v>
      </c>
      <c r="L12" s="152">
        <f t="shared" si="2"/>
        <v>4202.2813693298931</v>
      </c>
      <c r="N12" s="212">
        <v>5.0000000000000001E-3</v>
      </c>
      <c r="P12" s="217"/>
    </row>
    <row r="13" spans="1:20">
      <c r="B13" s="19" t="s">
        <v>185</v>
      </c>
      <c r="C13" s="22"/>
      <c r="D13" s="152">
        <v>2000.0999999999995</v>
      </c>
      <c r="E13" s="152">
        <f t="shared" ref="E13:L13" si="3">D13 * ( 1 + $N13)</f>
        <v>2010.1004999999993</v>
      </c>
      <c r="F13" s="152">
        <f t="shared" si="3"/>
        <v>2020.1510024999991</v>
      </c>
      <c r="G13" s="152">
        <f t="shared" si="3"/>
        <v>2030.2517575124989</v>
      </c>
      <c r="H13" s="152">
        <f t="shared" si="3"/>
        <v>2040.4030163000612</v>
      </c>
      <c r="I13" s="152">
        <f t="shared" si="3"/>
        <v>2050.6050313815613</v>
      </c>
      <c r="J13" s="152">
        <f t="shared" si="3"/>
        <v>2060.8580565384686</v>
      </c>
      <c r="K13" s="152">
        <f t="shared" si="3"/>
        <v>2071.1623468211606</v>
      </c>
      <c r="L13" s="152">
        <f t="shared" si="3"/>
        <v>2081.5181585552659</v>
      </c>
      <c r="N13" s="212">
        <v>5.0000000000000001E-3</v>
      </c>
      <c r="P13" s="217"/>
    </row>
    <row r="14" spans="1:20">
      <c r="B14" s="19" t="s">
        <v>186</v>
      </c>
      <c r="C14" s="22"/>
      <c r="D14" s="152">
        <v>24.999999999999996</v>
      </c>
      <c r="E14" s="152">
        <f t="shared" ref="E14:L14" si="4">D14 * ( 1 + $N14)</f>
        <v>25.124999999999993</v>
      </c>
      <c r="F14" s="152">
        <f t="shared" si="4"/>
        <v>25.250624999999989</v>
      </c>
      <c r="G14" s="152">
        <f t="shared" si="4"/>
        <v>25.376878124999987</v>
      </c>
      <c r="H14" s="152">
        <f t="shared" si="4"/>
        <v>25.503762515624985</v>
      </c>
      <c r="I14" s="152">
        <f t="shared" si="4"/>
        <v>25.631281328203105</v>
      </c>
      <c r="J14" s="152">
        <f t="shared" si="4"/>
        <v>25.759437734844116</v>
      </c>
      <c r="K14" s="152">
        <f t="shared" si="4"/>
        <v>25.888234923518333</v>
      </c>
      <c r="L14" s="152">
        <f t="shared" si="4"/>
        <v>26.017676098135922</v>
      </c>
      <c r="N14" s="212">
        <v>5.0000000000000001E-3</v>
      </c>
      <c r="P14" s="217"/>
    </row>
    <row r="15" spans="1:20">
      <c r="B15" s="19" t="s">
        <v>183</v>
      </c>
      <c r="C15" s="22"/>
      <c r="D15" s="152">
        <v>250.55387999999991</v>
      </c>
      <c r="E15" s="152">
        <f t="shared" ref="E15:L15" si="5">D15 * ( 1 + $N15)</f>
        <v>251.80664939999988</v>
      </c>
      <c r="F15" s="152">
        <f t="shared" si="5"/>
        <v>253.06568264699985</v>
      </c>
      <c r="G15" s="152">
        <f t="shared" si="5"/>
        <v>254.33101106023483</v>
      </c>
      <c r="H15" s="152">
        <f t="shared" si="5"/>
        <v>255.60266611553598</v>
      </c>
      <c r="I15" s="152">
        <f t="shared" si="5"/>
        <v>256.88067944611362</v>
      </c>
      <c r="J15" s="152">
        <f t="shared" si="5"/>
        <v>258.16508284334418</v>
      </c>
      <c r="K15" s="152">
        <f t="shared" si="5"/>
        <v>259.45590825756085</v>
      </c>
      <c r="L15" s="152">
        <f t="shared" si="5"/>
        <v>260.75318779884861</v>
      </c>
      <c r="N15" s="212">
        <v>5.0000000000000001E-3</v>
      </c>
      <c r="P15" s="217"/>
    </row>
    <row r="16" spans="1:20">
      <c r="B16" s="19" t="s">
        <v>187</v>
      </c>
      <c r="C16" s="22"/>
      <c r="D16" s="152">
        <v>715.21390942941343</v>
      </c>
      <c r="E16" s="152">
        <f t="shared" ref="E16:L16" si="6">D16 * ( 1 + $N16)</f>
        <v>718.78997897656041</v>
      </c>
      <c r="F16" s="152">
        <f t="shared" si="6"/>
        <v>722.38392887144312</v>
      </c>
      <c r="G16" s="152">
        <f t="shared" si="6"/>
        <v>725.99584851580028</v>
      </c>
      <c r="H16" s="152">
        <f t="shared" si="6"/>
        <v>729.62582775837916</v>
      </c>
      <c r="I16" s="152">
        <f t="shared" si="6"/>
        <v>733.27395689717093</v>
      </c>
      <c r="J16" s="152">
        <f t="shared" si="6"/>
        <v>736.94032668165676</v>
      </c>
      <c r="K16" s="152">
        <f t="shared" si="6"/>
        <v>740.62502831506492</v>
      </c>
      <c r="L16" s="152">
        <f t="shared" si="6"/>
        <v>744.32815345664017</v>
      </c>
      <c r="N16" s="212">
        <v>5.0000000000000001E-3</v>
      </c>
      <c r="P16" s="217"/>
    </row>
    <row r="17" spans="1:16">
      <c r="B17" s="214" t="s">
        <v>188</v>
      </c>
      <c r="C17" s="218"/>
      <c r="D17" s="152">
        <v>2399.0999999999995</v>
      </c>
      <c r="E17" s="152">
        <v>2399.0999999999995</v>
      </c>
      <c r="F17" s="152">
        <v>2399.0999999999995</v>
      </c>
      <c r="G17" s="152">
        <v>2399.0999999999995</v>
      </c>
      <c r="H17" s="152">
        <v>2399.0999999999995</v>
      </c>
      <c r="I17" s="152">
        <v>2399.0999999999995</v>
      </c>
      <c r="J17" s="152">
        <v>2399.0999999999995</v>
      </c>
      <c r="K17" s="152">
        <v>2399.0999999999995</v>
      </c>
      <c r="L17" s="152">
        <v>2399.0999999999995</v>
      </c>
      <c r="N17" s="219">
        <v>5.0000000000000001E-3</v>
      </c>
      <c r="P17" s="217"/>
    </row>
    <row r="18" spans="1:16">
      <c r="B18" s="19" t="s">
        <v>189</v>
      </c>
      <c r="C18" s="22"/>
      <c r="D18" s="152">
        <v>188</v>
      </c>
      <c r="E18" s="152">
        <f t="shared" ref="E18:L18" si="7">D18 * ( 1 + $N18)</f>
        <v>188.93999999999997</v>
      </c>
      <c r="F18" s="152">
        <f t="shared" si="7"/>
        <v>189.88469999999995</v>
      </c>
      <c r="G18" s="152">
        <f t="shared" si="7"/>
        <v>190.83412349999992</v>
      </c>
      <c r="H18" s="152">
        <f t="shared" si="7"/>
        <v>191.7882941174999</v>
      </c>
      <c r="I18" s="152">
        <f t="shared" si="7"/>
        <v>192.74723558808739</v>
      </c>
      <c r="J18" s="152">
        <f t="shared" si="7"/>
        <v>193.7109717660278</v>
      </c>
      <c r="K18" s="152">
        <f t="shared" si="7"/>
        <v>194.67952662485791</v>
      </c>
      <c r="L18" s="152">
        <f t="shared" si="7"/>
        <v>195.65292425798219</v>
      </c>
      <c r="N18" s="212">
        <v>5.0000000000000001E-3</v>
      </c>
      <c r="P18" s="217"/>
    </row>
    <row r="19" spans="1:16">
      <c r="B19" s="19" t="s">
        <v>671</v>
      </c>
      <c r="C19" s="22"/>
      <c r="D19" s="463">
        <f>_xlfn.XLOOKUP(D$3, 'Project Pele ROI'!$F$29:$AL$29, 'Project Pele ROI'!$F$138:$AL$138, 0)</f>
        <v>0</v>
      </c>
      <c r="E19" s="463">
        <f>_xlfn.XLOOKUP(E$3, 'Project Pele ROI'!$F$29:$AL$29, 'Project Pele ROI'!$F$138:$AL$138, 0)</f>
        <v>0</v>
      </c>
      <c r="F19" s="463">
        <f>_xlfn.XLOOKUP(F$3, 'Project Pele ROI'!$F$29:$AL$29, 'Project Pele ROI'!$F$138:$AL$138, 0)</f>
        <v>2803.7253641025641</v>
      </c>
      <c r="G19" s="463">
        <f>_xlfn.XLOOKUP(G$3, 'Project Pele ROI'!$F$29:$AL$29, 'Project Pele ROI'!$F$138:$AL$138, 0)</f>
        <v>2860.027125025641</v>
      </c>
      <c r="H19" s="463">
        <f>_xlfn.XLOOKUP(H$3, 'Project Pele ROI'!$F$29:$AL$29, 'Project Pele ROI'!$F$138:$AL$138, 0)</f>
        <v>5203.2568397576042</v>
      </c>
      <c r="I19" s="463">
        <f>_xlfn.XLOOKUP(I$3, 'Project Pele ROI'!$F$29:$AL$29, 'Project Pele ROI'!$F$138:$AL$138, 0)</f>
        <v>4971.1533332371782</v>
      </c>
      <c r="J19" s="463">
        <f>_xlfn.XLOOKUP(J$3, 'Project Pele ROI'!$F$29:$AL$29, 'Project Pele ROI'!$F$138:$AL$138, 0)</f>
        <v>4771.3501839106848</v>
      </c>
      <c r="K19" s="463">
        <f>_xlfn.XLOOKUP(K$3, 'Project Pele ROI'!$F$29:$AL$29, 'Project Pele ROI'!$F$138:$AL$138, 0)</f>
        <v>4612.6119278421675</v>
      </c>
      <c r="L19" s="463">
        <f>_xlfn.XLOOKUP(L$3, 'Project Pele ROI'!$F$29:$AL$29, 'Project Pele ROI'!$F$138:$AL$138, 0)</f>
        <v>4818.8112202201364</v>
      </c>
      <c r="N19" s="212">
        <v>5.0000000000000001E-3</v>
      </c>
      <c r="P19" s="217"/>
    </row>
    <row r="20" spans="1:16">
      <c r="B20" s="19" t="s">
        <v>190</v>
      </c>
      <c r="C20" s="22"/>
      <c r="D20" s="463">
        <v>-357.22500000000002</v>
      </c>
      <c r="E20" s="463">
        <v>-357.22500000000002</v>
      </c>
      <c r="F20" s="463">
        <v>-357.22500000000002</v>
      </c>
      <c r="G20" s="463">
        <v>-357.22500000000002</v>
      </c>
      <c r="H20" s="463">
        <v>-357.22500000000002</v>
      </c>
      <c r="I20" s="463">
        <v>-357.22500000000002</v>
      </c>
      <c r="J20" s="463">
        <v>-357.22500000000002</v>
      </c>
      <c r="K20" s="463">
        <v>-357.22500000000002</v>
      </c>
      <c r="L20" s="463">
        <v>-357.22500000000002</v>
      </c>
      <c r="N20" s="212">
        <v>0.03</v>
      </c>
      <c r="P20" s="217"/>
    </row>
    <row r="21" spans="1:16">
      <c r="B21" s="19" t="s">
        <v>616</v>
      </c>
      <c r="C21" s="22"/>
      <c r="D21" s="463">
        <v>-3143.298074402916</v>
      </c>
      <c r="E21" s="463">
        <v>-2657.9933231066693</v>
      </c>
      <c r="F21" s="463">
        <v>-2711.7950427516298</v>
      </c>
      <c r="G21" s="463">
        <v>-2943.8857006223884</v>
      </c>
      <c r="H21" s="463">
        <v>-3192.3054979855779</v>
      </c>
      <c r="I21" s="463">
        <v>-3457.9894193479977</v>
      </c>
      <c r="J21" s="463">
        <v>-3543.7911428426119</v>
      </c>
      <c r="K21" s="463">
        <v>-3633.0249752770078</v>
      </c>
      <c r="L21" s="463">
        <f>K21 * ( 1 + $N21)</f>
        <v>-3742.015724535318</v>
      </c>
      <c r="N21" s="212">
        <v>0.03</v>
      </c>
      <c r="P21" s="217"/>
    </row>
    <row r="22" spans="1:16">
      <c r="B22" s="103" t="s">
        <v>638</v>
      </c>
      <c r="C22" s="455"/>
      <c r="D22" s="487">
        <f>-D$242 - D$266</f>
        <v>-1358.1180266356396</v>
      </c>
      <c r="E22" s="487">
        <f t="shared" ref="E22:L22" si="8">-E$242 - E$266</f>
        <v>-4768.3521562518572</v>
      </c>
      <c r="F22" s="487">
        <f t="shared" si="8"/>
        <v>-4479.6786603019627</v>
      </c>
      <c r="G22" s="487">
        <f t="shared" si="8"/>
        <v>-2799.9999999999995</v>
      </c>
      <c r="H22" s="487">
        <f t="shared" si="8"/>
        <v>0</v>
      </c>
      <c r="I22" s="487">
        <f t="shared" si="8"/>
        <v>0</v>
      </c>
      <c r="J22" s="487">
        <f t="shared" si="8"/>
        <v>0</v>
      </c>
      <c r="K22" s="487">
        <f t="shared" si="8"/>
        <v>0</v>
      </c>
      <c r="L22" s="487">
        <f t="shared" si="8"/>
        <v>0</v>
      </c>
      <c r="N22" s="213"/>
      <c r="P22" s="217"/>
    </row>
    <row r="23" spans="1:16" ht="14.25" thickBot="1">
      <c r="A23" s="279"/>
      <c r="B23" s="23" t="s">
        <v>191</v>
      </c>
      <c r="C23" s="24"/>
      <c r="D23" s="24">
        <f>SUM(D9:D22)</f>
        <v>15790.767802932856</v>
      </c>
      <c r="E23" s="24">
        <f t="shared" ref="E23:L23" si="9">SUM(E9:E22)</f>
        <v>11543.302849568034</v>
      </c>
      <c r="F23" s="24">
        <f t="shared" si="9"/>
        <v>15605.089804741163</v>
      </c>
      <c r="G23" s="24">
        <f t="shared" si="9"/>
        <v>20192.111590259741</v>
      </c>
      <c r="H23" s="24">
        <f t="shared" si="9"/>
        <v>27771.252936257482</v>
      </c>
      <c r="I23" s="24">
        <f t="shared" si="9"/>
        <v>27909.082616558815</v>
      </c>
      <c r="J23" s="24">
        <f t="shared" si="9"/>
        <v>30626.803931241</v>
      </c>
      <c r="K23" s="24">
        <f t="shared" si="9"/>
        <v>31170.91996534741</v>
      </c>
      <c r="L23" s="24">
        <f t="shared" si="9"/>
        <v>31894.322750305837</v>
      </c>
      <c r="N23" s="126"/>
      <c r="P23" s="220"/>
    </row>
    <row r="24" spans="1:16" ht="3.75" customHeight="1">
      <c r="B24" s="103"/>
      <c r="C24" s="198"/>
      <c r="D24" s="198"/>
      <c r="E24" s="198"/>
      <c r="F24" s="198"/>
      <c r="G24" s="198"/>
      <c r="H24" s="198"/>
      <c r="I24" s="198"/>
      <c r="J24" s="198"/>
      <c r="K24" s="198"/>
      <c r="L24" s="198"/>
      <c r="N24" s="203"/>
      <c r="P24" s="203"/>
    </row>
    <row r="25" spans="1:16">
      <c r="B25" s="431" t="s">
        <v>22</v>
      </c>
      <c r="C25" s="431"/>
      <c r="D25" s="431"/>
      <c r="E25" s="431"/>
      <c r="F25" s="431"/>
      <c r="G25" s="431"/>
      <c r="H25" s="431"/>
      <c r="I25" s="431"/>
      <c r="J25" s="431"/>
      <c r="K25" s="431"/>
      <c r="L25" s="431"/>
      <c r="N25" s="431"/>
      <c r="P25" s="431"/>
    </row>
    <row r="26" spans="1:16" ht="3.75" customHeight="1">
      <c r="B26" s="124"/>
      <c r="C26" s="128"/>
      <c r="D26" s="128"/>
      <c r="E26" s="128"/>
      <c r="F26" s="128"/>
      <c r="G26" s="128"/>
      <c r="H26" s="128"/>
      <c r="I26" s="128"/>
      <c r="J26" s="128"/>
      <c r="K26" s="128"/>
      <c r="L26" s="128"/>
      <c r="N26" s="221"/>
      <c r="P26" s="213"/>
    </row>
    <row r="27" spans="1:16">
      <c r="B27" s="19" t="str">
        <f>$B$9</f>
        <v>Salary &amp; Benefits</v>
      </c>
      <c r="C27" s="20"/>
      <c r="D27" s="20"/>
      <c r="E27" s="20"/>
      <c r="F27" s="20"/>
      <c r="G27" s="20"/>
      <c r="H27" s="20"/>
      <c r="I27" s="20"/>
      <c r="J27" s="20"/>
      <c r="K27" s="20"/>
      <c r="L27" s="20"/>
      <c r="N27" s="212"/>
      <c r="P27" s="217"/>
    </row>
    <row r="28" spans="1:16">
      <c r="B28" s="19" t="str">
        <f>$B$10</f>
        <v>Bonus</v>
      </c>
      <c r="C28" s="20"/>
      <c r="D28" s="20"/>
      <c r="E28" s="20"/>
      <c r="F28" s="20"/>
      <c r="G28" s="20"/>
      <c r="H28" s="20"/>
      <c r="I28" s="20"/>
      <c r="J28" s="20"/>
      <c r="K28" s="20"/>
      <c r="L28" s="20"/>
      <c r="N28" s="212"/>
      <c r="P28" s="217"/>
    </row>
    <row r="29" spans="1:16">
      <c r="B29" s="19" t="str">
        <f>$B$11</f>
        <v>T&amp;E</v>
      </c>
      <c r="C29" s="20"/>
      <c r="D29" s="20"/>
      <c r="E29" s="20"/>
      <c r="F29" s="20"/>
      <c r="G29" s="20"/>
      <c r="H29" s="20"/>
      <c r="I29" s="20"/>
      <c r="J29" s="20"/>
      <c r="K29" s="20"/>
      <c r="L29" s="20"/>
      <c r="N29" s="212"/>
      <c r="P29" s="217"/>
    </row>
    <row r="30" spans="1:16">
      <c r="B30" s="19" t="str">
        <f>$B$12</f>
        <v>Outside Services</v>
      </c>
      <c r="C30" s="20"/>
      <c r="D30" s="20"/>
      <c r="E30" s="20"/>
      <c r="F30" s="20"/>
      <c r="G30" s="20"/>
      <c r="H30" s="20"/>
      <c r="I30" s="20"/>
      <c r="J30" s="20"/>
      <c r="K30" s="20"/>
      <c r="L30" s="20"/>
      <c r="N30" s="212"/>
      <c r="P30" s="217"/>
    </row>
    <row r="31" spans="1:16">
      <c r="B31" s="19" t="str">
        <f>$B$13</f>
        <v>Sales &amp; Marketing</v>
      </c>
      <c r="C31" s="20"/>
      <c r="D31" s="20"/>
      <c r="E31" s="20"/>
      <c r="F31" s="20"/>
      <c r="G31" s="20"/>
      <c r="H31" s="20"/>
      <c r="I31" s="20"/>
      <c r="J31" s="20"/>
      <c r="K31" s="20"/>
      <c r="L31" s="20"/>
      <c r="N31" s="212"/>
      <c r="P31" s="217"/>
    </row>
    <row r="32" spans="1:16">
      <c r="B32" s="19" t="str">
        <f>$B$14</f>
        <v>Licenses, Fees, and Insurance</v>
      </c>
      <c r="C32" s="20"/>
      <c r="D32" s="20"/>
      <c r="E32" s="20"/>
      <c r="F32" s="20"/>
      <c r="G32" s="20"/>
      <c r="H32" s="20"/>
      <c r="I32" s="20"/>
      <c r="J32" s="20"/>
      <c r="K32" s="20"/>
      <c r="L32" s="20"/>
      <c r="N32" s="212"/>
      <c r="P32" s="217"/>
    </row>
    <row r="33" spans="1:16">
      <c r="B33" s="19" t="str">
        <f>$B$15</f>
        <v>IT</v>
      </c>
      <c r="C33" s="20"/>
      <c r="D33" s="20"/>
      <c r="E33" s="20"/>
      <c r="F33" s="20"/>
      <c r="G33" s="20"/>
      <c r="H33" s="20"/>
      <c r="I33" s="20"/>
      <c r="J33" s="20"/>
      <c r="K33" s="20"/>
      <c r="L33" s="20"/>
      <c r="N33" s="212"/>
      <c r="P33" s="217"/>
    </row>
    <row r="34" spans="1:16">
      <c r="B34" s="19" t="str">
        <f>$B$16</f>
        <v>Shipping &amp; Storage</v>
      </c>
      <c r="C34" s="20"/>
      <c r="D34" s="20"/>
      <c r="E34" s="20"/>
      <c r="F34" s="20"/>
      <c r="G34" s="20"/>
      <c r="H34" s="20"/>
      <c r="I34" s="20"/>
      <c r="J34" s="20"/>
      <c r="K34" s="20"/>
      <c r="L34" s="20"/>
      <c r="N34" s="212"/>
      <c r="P34" s="217"/>
    </row>
    <row r="35" spans="1:16">
      <c r="B35" s="19" t="str">
        <f>$B$17</f>
        <v>Office Rent, Utilities, &amp; Equipment</v>
      </c>
      <c r="C35" s="20"/>
      <c r="D35" s="20"/>
      <c r="E35" s="20"/>
      <c r="F35" s="20"/>
      <c r="G35" s="20"/>
      <c r="H35" s="20"/>
      <c r="I35" s="20"/>
      <c r="J35" s="20"/>
      <c r="K35" s="20"/>
      <c r="L35" s="20"/>
      <c r="N35" s="212"/>
      <c r="P35" s="217"/>
    </row>
    <row r="36" spans="1:16">
      <c r="B36" s="19" t="str">
        <f>$B$18</f>
        <v>Lab Supplies</v>
      </c>
      <c r="C36" s="20"/>
      <c r="D36" s="20"/>
      <c r="E36" s="20"/>
      <c r="F36" s="20"/>
      <c r="G36" s="20"/>
      <c r="H36" s="20"/>
      <c r="I36" s="20"/>
      <c r="J36" s="20"/>
      <c r="K36" s="20"/>
      <c r="L36" s="20"/>
      <c r="N36" s="212"/>
      <c r="P36" s="217"/>
    </row>
    <row r="37" spans="1:16">
      <c r="B37" s="214" t="str">
        <f>$B$19</f>
        <v>Plants</v>
      </c>
      <c r="C37" s="202"/>
      <c r="D37" s="20"/>
      <c r="E37" s="20"/>
      <c r="F37" s="20"/>
      <c r="G37" s="20"/>
      <c r="H37" s="20"/>
      <c r="I37" s="20"/>
      <c r="J37" s="20"/>
      <c r="K37" s="20"/>
      <c r="L37" s="20"/>
      <c r="N37" s="212"/>
      <c r="P37" s="217"/>
    </row>
    <row r="38" spans="1:16">
      <c r="B38" s="214" t="str">
        <f>$B$20</f>
        <v>Other Expenses</v>
      </c>
      <c r="C38" s="129"/>
      <c r="D38" s="20">
        <f>_xlfn.XLOOKUP(D$3, 'Project Eureka ROI'!$F$21:$AL$21, 'Project Eureka ROI'!$F$143:$AL$143, 0)</f>
        <v>4984</v>
      </c>
      <c r="E38" s="20">
        <f>_xlfn.XLOOKUP(E$3, 'Project Eureka ROI'!$F$21:$AL$21, 'Project Eureka ROI'!$F$143:$AL$143, 0)</f>
        <v>5133.5199999999995</v>
      </c>
      <c r="F38" s="20">
        <f>_xlfn.XLOOKUP(F$3, 'Project Eureka ROI'!$F$21:$AL$21, 'Project Eureka ROI'!$F$143:$AL$143, 0)</f>
        <v>5287.5255999999999</v>
      </c>
      <c r="G38" s="20">
        <f>_xlfn.XLOOKUP(G$3, 'Project Eureka ROI'!$F$21:$AL$21, 'Project Eureka ROI'!$F$143:$AL$143, 0)</f>
        <v>6646.1513680000007</v>
      </c>
      <c r="H38" s="20">
        <f>_xlfn.XLOOKUP(H$3, 'Project Eureka ROI'!$F$21:$AL$21, 'Project Eureka ROI'!$F$143:$AL$143, 0)</f>
        <v>6845.5359090400007</v>
      </c>
      <c r="I38" s="20">
        <f>_xlfn.XLOOKUP(I$3, 'Project Eureka ROI'!$F$21:$AL$21, 'Project Eureka ROI'!$F$143:$AL$143, 0)</f>
        <v>7050.9019863112007</v>
      </c>
      <c r="J38" s="20">
        <f>_xlfn.XLOOKUP(J$3, 'Project Eureka ROI'!$F$21:$AL$21, 'Project Eureka ROI'!$F$143:$AL$143, 0)</f>
        <v>7262.4290459005369</v>
      </c>
      <c r="K38" s="20">
        <f>_xlfn.XLOOKUP(K$3, 'Project Eureka ROI'!$F$21:$AL$21, 'Project Eureka ROI'!$F$143:$AL$143, 0)</f>
        <v>7480.301917277553</v>
      </c>
      <c r="L38" s="20">
        <f>_xlfn.XLOOKUP(L$3, 'Project Eureka ROI'!$F$21:$AL$21, 'Project Eureka ROI'!$F$143:$AL$143, 0)</f>
        <v>7704.7109747958793</v>
      </c>
      <c r="N38" s="212"/>
      <c r="P38" s="217"/>
    </row>
    <row r="39" spans="1:16">
      <c r="B39" s="103" t="str">
        <f>$B$21</f>
        <v>Overhead COGS Alloc</v>
      </c>
      <c r="C39" s="129"/>
      <c r="D39" s="202"/>
      <c r="E39" s="202"/>
      <c r="F39" s="202"/>
      <c r="G39" s="202"/>
      <c r="H39" s="202"/>
      <c r="I39" s="202"/>
      <c r="J39" s="202"/>
      <c r="K39" s="202"/>
      <c r="L39" s="202"/>
      <c r="N39" s="213"/>
      <c r="P39" s="217"/>
    </row>
    <row r="40" spans="1:16">
      <c r="B40" s="103" t="s">
        <v>638</v>
      </c>
      <c r="C40" s="455"/>
      <c r="D40" s="487"/>
      <c r="E40" s="487"/>
      <c r="F40" s="487"/>
      <c r="G40" s="487"/>
      <c r="H40" s="487"/>
      <c r="I40" s="487"/>
      <c r="J40" s="487"/>
      <c r="K40" s="487"/>
      <c r="L40" s="487"/>
      <c r="N40" s="213"/>
      <c r="P40" s="217"/>
    </row>
    <row r="41" spans="1:16" ht="14.25" thickBot="1">
      <c r="A41" s="279"/>
      <c r="B41" s="23" t="str">
        <f>$B$149</f>
        <v>Total SGA</v>
      </c>
      <c r="C41" s="24"/>
      <c r="D41" s="24">
        <f>SUM(D27:D40)</f>
        <v>4984</v>
      </c>
      <c r="E41" s="24">
        <f t="shared" ref="E41" si="10">SUM(E27:E40)</f>
        <v>5133.5199999999995</v>
      </c>
      <c r="F41" s="24">
        <f t="shared" ref="F41" si="11">SUM(F27:F40)</f>
        <v>5287.5255999999999</v>
      </c>
      <c r="G41" s="24">
        <f t="shared" ref="G41" si="12">SUM(G27:G40)</f>
        <v>6646.1513680000007</v>
      </c>
      <c r="H41" s="24">
        <f t="shared" ref="H41" si="13">SUM(H27:H40)</f>
        <v>6845.5359090400007</v>
      </c>
      <c r="I41" s="24">
        <f t="shared" ref="I41" si="14">SUM(I27:I40)</f>
        <v>7050.9019863112007</v>
      </c>
      <c r="J41" s="24">
        <f t="shared" ref="J41" si="15">SUM(J27:J40)</f>
        <v>7262.4290459005369</v>
      </c>
      <c r="K41" s="24">
        <f t="shared" ref="K41" si="16">SUM(K27:K40)</f>
        <v>7480.301917277553</v>
      </c>
      <c r="L41" s="24">
        <f t="shared" ref="L41" si="17">SUM(L27:L40)</f>
        <v>7704.7109747958793</v>
      </c>
      <c r="N41" s="126"/>
      <c r="P41" s="220"/>
    </row>
    <row r="42" spans="1:16" ht="3.75" customHeight="1">
      <c r="C42" s="129"/>
      <c r="D42" s="129"/>
      <c r="E42" s="129"/>
      <c r="F42" s="129"/>
      <c r="G42" s="129"/>
      <c r="H42" s="129"/>
      <c r="I42" s="129"/>
      <c r="J42" s="129"/>
      <c r="K42" s="129"/>
      <c r="L42" s="129"/>
      <c r="N42" s="215"/>
      <c r="P42" s="215"/>
    </row>
    <row r="43" spans="1:16">
      <c r="B43" s="431" t="s">
        <v>621</v>
      </c>
      <c r="C43" s="431"/>
      <c r="D43" s="431"/>
      <c r="E43" s="431"/>
      <c r="F43" s="431"/>
      <c r="G43" s="431"/>
      <c r="H43" s="431"/>
      <c r="I43" s="431"/>
      <c r="J43" s="431"/>
      <c r="K43" s="431"/>
      <c r="L43" s="431"/>
      <c r="N43" s="431"/>
      <c r="P43" s="431"/>
    </row>
    <row r="44" spans="1:16" ht="3.75" customHeight="1">
      <c r="B44" s="124"/>
      <c r="C44" s="128"/>
      <c r="D44" s="128"/>
      <c r="E44" s="128"/>
      <c r="F44" s="128"/>
      <c r="G44" s="128"/>
      <c r="H44" s="128"/>
      <c r="I44" s="128"/>
      <c r="J44" s="128"/>
      <c r="K44" s="128"/>
      <c r="L44" s="128"/>
      <c r="N44" s="221"/>
      <c r="P44" s="213"/>
    </row>
    <row r="45" spans="1:16">
      <c r="B45" s="19" t="str">
        <f>$B$9</f>
        <v>Salary &amp; Benefits</v>
      </c>
      <c r="C45" s="20"/>
      <c r="D45" s="20">
        <f>SUM('[3]SG&amp;A'!E$9:E$11) + '[3]SG&amp;A'!E$14</f>
        <v>14478</v>
      </c>
      <c r="E45" s="20">
        <f>SUM('[3]SG&amp;A'!F$9:F$11) + '[3]SG&amp;A'!F$14</f>
        <v>10664.099999999999</v>
      </c>
      <c r="F45" s="20">
        <f>SUM('[3]SG&amp;A'!G$9:G$11) + '[3]SG&amp;A'!G$14</f>
        <v>11428.164000000001</v>
      </c>
      <c r="G45" s="20">
        <f>SUM('[3]SG&amp;A'!H$9:H$11) + '[3]SG&amp;A'!H$14</f>
        <v>11832.790560000001</v>
      </c>
      <c r="H45" s="20">
        <f>SUM('[3]SG&amp;A'!I$9:I$11) + '[3]SG&amp;A'!I$14</f>
        <v>12253.602182400002</v>
      </c>
      <c r="I45" s="20">
        <f>SUM('[3]SG&amp;A'!J$9:J$11) + '[3]SG&amp;A'!J$14</f>
        <v>12691.246269696003</v>
      </c>
      <c r="J45" s="20">
        <f>SUM('[3]SG&amp;A'!K$9:K$11) + '[3]SG&amp;A'!K$14</f>
        <v>13146.396120483843</v>
      </c>
      <c r="K45" s="20">
        <f>SUM('[3]SG&amp;A'!L$9:L$11) + '[3]SG&amp;A'!L$14</f>
        <v>13619.751965303196</v>
      </c>
      <c r="L45" s="20">
        <f>SUM('[3]SG&amp;A'!M$9:M$11) + '[3]SG&amp;A'!M$14</f>
        <v>14112.042043915326</v>
      </c>
      <c r="N45" s="212"/>
      <c r="P45" s="217"/>
    </row>
    <row r="46" spans="1:16">
      <c r="B46" s="19" t="str">
        <f>$B$10</f>
        <v>Bonus</v>
      </c>
      <c r="C46" s="20"/>
      <c r="D46" s="20">
        <f>'[3]SG&amp;A'!E$12</f>
        <v>1748</v>
      </c>
      <c r="E46" s="20">
        <f>'[3]SG&amp;A'!F$12</f>
        <v>1386.604</v>
      </c>
      <c r="F46" s="20">
        <f>'[3]SG&amp;A'!G$12</f>
        <v>1482.5681600000003</v>
      </c>
      <c r="G46" s="20">
        <f>'[3]SG&amp;A'!H$12</f>
        <v>1535.5708864000001</v>
      </c>
      <c r="H46" s="20">
        <f>'[3]SG&amp;A'!I$12</f>
        <v>1590.6937218560001</v>
      </c>
      <c r="I46" s="20">
        <f>'[3]SG&amp;A'!J$12</f>
        <v>1648.0214707302403</v>
      </c>
      <c r="J46" s="20">
        <f>'[3]SG&amp;A'!K$12</f>
        <v>1707.6423295594495</v>
      </c>
      <c r="K46" s="20">
        <f>'[3]SG&amp;A'!L$12</f>
        <v>1769.6480227418281</v>
      </c>
      <c r="L46" s="20">
        <f>'[3]SG&amp;A'!M$12</f>
        <v>1834.1339436515013</v>
      </c>
      <c r="N46" s="212"/>
      <c r="P46" s="217"/>
    </row>
    <row r="47" spans="1:16">
      <c r="B47" s="19" t="str">
        <f>$B$11</f>
        <v>T&amp;E</v>
      </c>
      <c r="C47" s="20"/>
      <c r="D47" s="20">
        <f>'[3]SG&amp;A'!E$17</f>
        <v>811.5</v>
      </c>
      <c r="E47" s="20">
        <f>'[3]SG&amp;A'!F$17</f>
        <v>805</v>
      </c>
      <c r="F47" s="20">
        <f>'[3]SG&amp;A'!G$17</f>
        <v>841.5</v>
      </c>
      <c r="G47" s="20">
        <f>'[3]SG&amp;A'!H$17</f>
        <v>858.32999999999993</v>
      </c>
      <c r="H47" s="20">
        <f>'[3]SG&amp;A'!I$17</f>
        <v>875.49659999999994</v>
      </c>
      <c r="I47" s="20">
        <f>'[3]SG&amp;A'!J$17</f>
        <v>893.00653199999988</v>
      </c>
      <c r="J47" s="20">
        <f>'[3]SG&amp;A'!K$17</f>
        <v>910.86666264000007</v>
      </c>
      <c r="K47" s="20">
        <f>'[3]SG&amp;A'!L$17</f>
        <v>929.0839958928002</v>
      </c>
      <c r="L47" s="20">
        <f>'[3]SG&amp;A'!M$17</f>
        <v>947.66567581065624</v>
      </c>
      <c r="N47" s="212"/>
      <c r="P47" s="217"/>
    </row>
    <row r="48" spans="1:16">
      <c r="B48" s="19" t="str">
        <f>$B$12</f>
        <v>Outside Services</v>
      </c>
      <c r="C48" s="20"/>
      <c r="D48" s="20">
        <f>'[3]SG&amp;A'!E$15</f>
        <v>6845</v>
      </c>
      <c r="E48" s="20">
        <f>'[3]SG&amp;A'!F$15</f>
        <v>7500.3499999999995</v>
      </c>
      <c r="F48" s="20">
        <f>'[3]SG&amp;A'!G$15</f>
        <v>7725.3605000000016</v>
      </c>
      <c r="G48" s="20">
        <f>'[3]SG&amp;A'!H$15</f>
        <v>7957.1213150000012</v>
      </c>
      <c r="H48" s="20">
        <f>'[3]SG&amp;A'!I$15</f>
        <v>8195.8349544500015</v>
      </c>
      <c r="I48" s="20">
        <f>'[3]SG&amp;A'!J$15</f>
        <v>8441.7100030835009</v>
      </c>
      <c r="J48" s="20">
        <f>'[3]SG&amp;A'!K$15</f>
        <v>8694.9613031760055</v>
      </c>
      <c r="K48" s="20">
        <f>'[3]SG&amp;A'!L$15</f>
        <v>8955.8101422712862</v>
      </c>
      <c r="L48" s="20">
        <f>'[3]SG&amp;A'!M$15</f>
        <v>9224.4844465394235</v>
      </c>
      <c r="N48" s="212"/>
      <c r="P48" s="217"/>
    </row>
    <row r="49" spans="1:16">
      <c r="B49" s="19" t="str">
        <f>$B$13</f>
        <v>Sales &amp; Marketing</v>
      </c>
      <c r="C49" s="20"/>
      <c r="D49" s="20">
        <f>'[3]SG&amp;A'!E$16</f>
        <v>340</v>
      </c>
      <c r="E49" s="20">
        <f>'[3]SG&amp;A'!F$16</f>
        <v>347.40000000000003</v>
      </c>
      <c r="F49" s="20">
        <f>'[3]SG&amp;A'!G$16</f>
        <v>354.96600000000001</v>
      </c>
      <c r="G49" s="20">
        <f>'[3]SG&amp;A'!H$16</f>
        <v>362.70186000000001</v>
      </c>
      <c r="H49" s="20">
        <f>'[3]SG&amp;A'!I$16</f>
        <v>370.61153339999998</v>
      </c>
      <c r="I49" s="20">
        <f>'[3]SG&amp;A'!J$16</f>
        <v>378.69906935400002</v>
      </c>
      <c r="J49" s="20">
        <f>'[3]SG&amp;A'!K$16</f>
        <v>386.96861518566004</v>
      </c>
      <c r="K49" s="20">
        <f>'[3]SG&amp;A'!L$16</f>
        <v>395.42441886729068</v>
      </c>
      <c r="L49" s="20">
        <f>'[3]SG&amp;A'!M$16</f>
        <v>404.07083156389143</v>
      </c>
      <c r="N49" s="212"/>
      <c r="P49" s="217"/>
    </row>
    <row r="50" spans="1:16">
      <c r="B50" s="19" t="str">
        <f>$B$14</f>
        <v>Licenses, Fees, and Insurance</v>
      </c>
      <c r="C50" s="20"/>
      <c r="D50" s="20">
        <f>'[3]SG&amp;A'!E$18</f>
        <v>593</v>
      </c>
      <c r="E50" s="20">
        <f>'[3]SG&amp;A'!F$18</f>
        <v>610.79</v>
      </c>
      <c r="F50" s="20">
        <f>'[3]SG&amp;A'!G$18</f>
        <v>629.11369999999999</v>
      </c>
      <c r="G50" s="20">
        <f>'[3]SG&amp;A'!H$18</f>
        <v>647.98711099999991</v>
      </c>
      <c r="H50" s="20">
        <f>'[3]SG&amp;A'!I$18</f>
        <v>667.42672432999996</v>
      </c>
      <c r="I50" s="20">
        <f>'[3]SG&amp;A'!J$18</f>
        <v>687.44952605990011</v>
      </c>
      <c r="J50" s="20">
        <f>'[3]SG&amp;A'!K$18</f>
        <v>708.07301184169705</v>
      </c>
      <c r="K50" s="20">
        <f>'[3]SG&amp;A'!L$18</f>
        <v>729.31520219694789</v>
      </c>
      <c r="L50" s="20">
        <f>'[3]SG&amp;A'!M$18</f>
        <v>751.19465826285636</v>
      </c>
      <c r="N50" s="212"/>
      <c r="P50" s="217"/>
    </row>
    <row r="51" spans="1:16">
      <c r="B51" s="19" t="str">
        <f>$B$15</f>
        <v>IT</v>
      </c>
      <c r="C51" s="20"/>
      <c r="D51" s="20">
        <f>'[3]SG&amp;A'!E$19</f>
        <v>1975</v>
      </c>
      <c r="E51" s="20">
        <f>'[3]SG&amp;A'!F$19</f>
        <v>2034.2500000000002</v>
      </c>
      <c r="F51" s="20">
        <f>'[3]SG&amp;A'!G$19</f>
        <v>2095.2775000000001</v>
      </c>
      <c r="G51" s="20">
        <f>'[3]SG&amp;A'!H$19</f>
        <v>2158.1358250000003</v>
      </c>
      <c r="H51" s="20">
        <f>'[3]SG&amp;A'!I$19</f>
        <v>2222.8798997500003</v>
      </c>
      <c r="I51" s="20">
        <f>'[3]SG&amp;A'!J$19</f>
        <v>2289.5662967425005</v>
      </c>
      <c r="J51" s="20">
        <f>'[3]SG&amp;A'!K$19</f>
        <v>2358.2532856447756</v>
      </c>
      <c r="K51" s="20">
        <f>'[3]SG&amp;A'!L$19</f>
        <v>2429.0008842141187</v>
      </c>
      <c r="L51" s="20">
        <f>'[3]SG&amp;A'!M$19</f>
        <v>2501.8709107405425</v>
      </c>
      <c r="N51" s="212"/>
      <c r="P51" s="217"/>
    </row>
    <row r="52" spans="1:16">
      <c r="B52" s="19" t="str">
        <f>$B$16</f>
        <v>Shipping &amp; Storage</v>
      </c>
      <c r="C52" s="20"/>
      <c r="D52" s="20">
        <f>'[3]SG&amp;A'!E$20</f>
        <v>14</v>
      </c>
      <c r="E52" s="20">
        <f>'[3]SG&amp;A'!F$20</f>
        <v>14.42</v>
      </c>
      <c r="F52" s="20">
        <f>'[3]SG&amp;A'!G$20</f>
        <v>14.852599999999999</v>
      </c>
      <c r="G52" s="20">
        <f>'[3]SG&amp;A'!H$20</f>
        <v>15.298178</v>
      </c>
      <c r="H52" s="20">
        <f>'[3]SG&amp;A'!I$20</f>
        <v>15.757123340000001</v>
      </c>
      <c r="I52" s="20">
        <f>'[3]SG&amp;A'!J$20</f>
        <v>16.229837040200003</v>
      </c>
      <c r="J52" s="20">
        <f>'[3]SG&amp;A'!K$20</f>
        <v>16.716732151406003</v>
      </c>
      <c r="K52" s="20">
        <f>'[3]SG&amp;A'!L$20</f>
        <v>17.218234115948182</v>
      </c>
      <c r="L52" s="20">
        <f>'[3]SG&amp;A'!M$20</f>
        <v>17.73478113942663</v>
      </c>
      <c r="N52" s="212"/>
      <c r="P52" s="217"/>
    </row>
    <row r="53" spans="1:16">
      <c r="B53" s="19" t="str">
        <f>$B$17</f>
        <v>Office Rent, Utilities, &amp; Equipment</v>
      </c>
      <c r="C53" s="20"/>
      <c r="D53" s="20">
        <f>'[3]SG&amp;A'!E$22</f>
        <v>1500</v>
      </c>
      <c r="E53" s="20">
        <f>'[3]SG&amp;A'!F$22</f>
        <v>1522.4999999999998</v>
      </c>
      <c r="F53" s="20">
        <f>'[3]SG&amp;A'!G$22</f>
        <v>1545.3374999999996</v>
      </c>
      <c r="G53" s="20">
        <f>'[3]SG&amp;A'!H$22</f>
        <v>1568.5175624999995</v>
      </c>
      <c r="H53" s="20">
        <f>'[3]SG&amp;A'!I$22</f>
        <v>1592.0453259374992</v>
      </c>
      <c r="I53" s="20">
        <f>'[3]SG&amp;A'!J$22</f>
        <v>1615.9260058265615</v>
      </c>
      <c r="J53" s="20">
        <f>'[3]SG&amp;A'!K$22</f>
        <v>1640.1648959139598</v>
      </c>
      <c r="K53" s="20">
        <f>'[3]SG&amp;A'!L$22</f>
        <v>1664.767369352669</v>
      </c>
      <c r="L53" s="20">
        <f>'[3]SG&amp;A'!M$22</f>
        <v>1689.7388798929589</v>
      </c>
      <c r="N53" s="212"/>
      <c r="P53" s="217"/>
    </row>
    <row r="54" spans="1:16">
      <c r="B54" s="19" t="str">
        <f>$B$18</f>
        <v>Lab Supplies</v>
      </c>
      <c r="C54" s="20"/>
      <c r="D54" s="20">
        <f>'[3]SG&amp;A'!E$21</f>
        <v>450</v>
      </c>
      <c r="E54" s="20">
        <f>'[3]SG&amp;A'!F$21</f>
        <v>463.5</v>
      </c>
      <c r="F54" s="20">
        <f>'[3]SG&amp;A'!G$21</f>
        <v>477.40500000000003</v>
      </c>
      <c r="G54" s="20">
        <f>'[3]SG&amp;A'!H$21</f>
        <v>491.72715000000005</v>
      </c>
      <c r="H54" s="20">
        <f>'[3]SG&amp;A'!I$21</f>
        <v>506.47896450000007</v>
      </c>
      <c r="I54" s="20">
        <f>'[3]SG&amp;A'!J$21</f>
        <v>521.67333343500013</v>
      </c>
      <c r="J54" s="20">
        <f>'[3]SG&amp;A'!K$21</f>
        <v>537.32353343805016</v>
      </c>
      <c r="K54" s="20">
        <f>'[3]SG&amp;A'!L$21</f>
        <v>553.44323944119174</v>
      </c>
      <c r="L54" s="20">
        <f>'[3]SG&amp;A'!M$21</f>
        <v>570.04653662442752</v>
      </c>
      <c r="N54" s="212"/>
      <c r="P54" s="217"/>
    </row>
    <row r="55" spans="1:16">
      <c r="B55" s="214" t="str">
        <f>$B$19</f>
        <v>Plants</v>
      </c>
      <c r="C55" s="202"/>
      <c r="D55" s="20"/>
      <c r="E55" s="20"/>
      <c r="F55" s="20"/>
      <c r="G55" s="20"/>
      <c r="H55" s="20"/>
      <c r="I55" s="20"/>
      <c r="J55" s="20"/>
      <c r="K55" s="20"/>
      <c r="L55" s="20"/>
      <c r="N55" s="212"/>
      <c r="P55" s="217"/>
    </row>
    <row r="56" spans="1:16">
      <c r="B56" s="214" t="str">
        <f>$B$20</f>
        <v>Other Expenses</v>
      </c>
      <c r="C56" s="129"/>
      <c r="D56" s="20">
        <f>'[3]SG&amp;A'!E$23</f>
        <v>61</v>
      </c>
      <c r="E56" s="20">
        <f>'[3]SG&amp;A'!F$23</f>
        <v>62.830000000000005</v>
      </c>
      <c r="F56" s="20">
        <f>'[3]SG&amp;A'!G$23</f>
        <v>64.7149</v>
      </c>
      <c r="G56" s="20">
        <f>'[3]SG&amp;A'!H$23</f>
        <v>66.656347000000011</v>
      </c>
      <c r="H56" s="20">
        <f>'[3]SG&amp;A'!I$23</f>
        <v>68.65603741000001</v>
      </c>
      <c r="I56" s="20">
        <f>'[3]SG&amp;A'!J$23</f>
        <v>70.715718532300002</v>
      </c>
      <c r="J56" s="20">
        <f>'[3]SG&amp;A'!K$23</f>
        <v>72.837190088269011</v>
      </c>
      <c r="K56" s="20">
        <f>'[3]SG&amp;A'!L$23</f>
        <v>75.022305790917073</v>
      </c>
      <c r="L56" s="20">
        <f>'[3]SG&amp;A'!M$23</f>
        <v>77.27297496464459</v>
      </c>
      <c r="N56" s="212"/>
      <c r="P56" s="217"/>
    </row>
    <row r="57" spans="1:16">
      <c r="B57" s="103" t="str">
        <f>$B$21</f>
        <v>Overhead COGS Alloc</v>
      </c>
      <c r="C57" s="129"/>
      <c r="D57" s="202"/>
      <c r="E57" s="202"/>
      <c r="F57" s="202"/>
      <c r="G57" s="202"/>
      <c r="H57" s="202"/>
      <c r="I57" s="202"/>
      <c r="J57" s="202"/>
      <c r="K57" s="202"/>
      <c r="L57" s="202"/>
      <c r="N57" s="213"/>
      <c r="P57" s="217"/>
    </row>
    <row r="58" spans="1:16">
      <c r="B58" s="103" t="s">
        <v>638</v>
      </c>
      <c r="C58" s="455"/>
      <c r="D58" s="487">
        <f>-D$245 - D$269</f>
        <v>-2282.0637087129053</v>
      </c>
      <c r="E58" s="487">
        <f t="shared" ref="E58:L58" si="18">-E$245 - E$269</f>
        <v>-4966.473701085125</v>
      </c>
      <c r="F58" s="487">
        <f t="shared" si="18"/>
        <v>-4124.0187153574243</v>
      </c>
      <c r="G58" s="487">
        <f t="shared" si="18"/>
        <v>-3000.0000000000009</v>
      </c>
      <c r="H58" s="487">
        <f t="shared" si="18"/>
        <v>0</v>
      </c>
      <c r="I58" s="487">
        <f t="shared" si="18"/>
        <v>0</v>
      </c>
      <c r="J58" s="487">
        <f t="shared" si="18"/>
        <v>0</v>
      </c>
      <c r="K58" s="487">
        <f t="shared" si="18"/>
        <v>0</v>
      </c>
      <c r="L58" s="487">
        <f t="shared" si="18"/>
        <v>0</v>
      </c>
      <c r="N58" s="213"/>
      <c r="P58" s="217"/>
    </row>
    <row r="59" spans="1:16" ht="14.25" thickBot="1">
      <c r="A59" s="279"/>
      <c r="B59" s="23" t="str">
        <f>$B$149</f>
        <v>Total SGA</v>
      </c>
      <c r="C59" s="24"/>
      <c r="D59" s="24">
        <f>SUM(D45:D58)</f>
        <v>26533.436291287093</v>
      </c>
      <c r="E59" s="24">
        <f t="shared" ref="E59" si="19">SUM(E45:E58)</f>
        <v>20445.270298914875</v>
      </c>
      <c r="F59" s="24">
        <f t="shared" ref="F59" si="20">SUM(F45:F58)</f>
        <v>22535.241144642576</v>
      </c>
      <c r="G59" s="24">
        <f t="shared" ref="G59" si="21">SUM(G45:G58)</f>
        <v>24494.836794900006</v>
      </c>
      <c r="H59" s="24">
        <f t="shared" ref="H59" si="22">SUM(H45:H58)</f>
        <v>28359.483067373505</v>
      </c>
      <c r="I59" s="24">
        <f t="shared" ref="I59" si="23">SUM(I45:I58)</f>
        <v>29254.244062500202</v>
      </c>
      <c r="J59" s="24">
        <f t="shared" ref="J59" si="24">SUM(J45:J58)</f>
        <v>30180.203680123119</v>
      </c>
      <c r="K59" s="24">
        <f t="shared" ref="K59" si="25">SUM(K45:K58)</f>
        <v>31138.485780188195</v>
      </c>
      <c r="L59" s="24">
        <f t="shared" ref="L59" si="26">SUM(L45:L58)</f>
        <v>32130.255683105657</v>
      </c>
      <c r="N59" s="126"/>
      <c r="P59" s="220"/>
    </row>
    <row r="60" spans="1:16" ht="3.75" customHeight="1">
      <c r="C60" s="129"/>
      <c r="D60" s="129"/>
      <c r="E60" s="129"/>
      <c r="F60" s="129"/>
      <c r="G60" s="129"/>
      <c r="H60" s="129"/>
      <c r="I60" s="129"/>
      <c r="J60" s="129"/>
      <c r="K60" s="129"/>
      <c r="L60" s="129"/>
      <c r="N60" s="215"/>
      <c r="P60" s="215"/>
    </row>
    <row r="61" spans="1:16">
      <c r="B61" s="431" t="s">
        <v>622</v>
      </c>
      <c r="C61" s="431"/>
      <c r="D61" s="431"/>
      <c r="E61" s="431"/>
      <c r="F61" s="431"/>
      <c r="G61" s="431"/>
      <c r="H61" s="431"/>
      <c r="I61" s="431"/>
      <c r="J61" s="431"/>
      <c r="K61" s="431"/>
      <c r="L61" s="431"/>
      <c r="N61" s="431"/>
      <c r="P61" s="431"/>
    </row>
    <row r="62" spans="1:16" ht="3.75" customHeight="1">
      <c r="B62" s="124"/>
      <c r="C62" s="128"/>
      <c r="D62" s="128"/>
      <c r="E62" s="128"/>
      <c r="F62" s="128"/>
      <c r="G62" s="128"/>
      <c r="H62" s="128"/>
      <c r="I62" s="128"/>
      <c r="J62" s="128"/>
      <c r="K62" s="128"/>
      <c r="L62" s="128"/>
      <c r="N62" s="221"/>
      <c r="P62" s="213"/>
    </row>
    <row r="63" spans="1:16">
      <c r="B63" s="19" t="str">
        <f>$B$9</f>
        <v>Salary &amp; Benefits</v>
      </c>
      <c r="C63" s="20"/>
      <c r="D63" s="20">
        <f>SUM('[3]SG&amp;A'!E$27:E$29)</f>
        <v>489.44</v>
      </c>
      <c r="E63" s="20">
        <f>SUM('[3]SG&amp;A'!F$27:F$29)</f>
        <v>509.01760000000002</v>
      </c>
      <c r="F63" s="20">
        <f>SUM('[3]SG&amp;A'!G$27:G$29)</f>
        <v>529.37830400000007</v>
      </c>
      <c r="G63" s="20">
        <f>SUM('[3]SG&amp;A'!H$27:H$29)</f>
        <v>550.55343616000016</v>
      </c>
      <c r="H63" s="20">
        <f>SUM('[3]SG&amp;A'!I$27:I$29)</f>
        <v>572.5755736064001</v>
      </c>
      <c r="I63" s="20">
        <f>SUM('[3]SG&amp;A'!J$27:J$29)</f>
        <v>595.47859655065611</v>
      </c>
      <c r="J63" s="20">
        <f>SUM('[3]SG&amp;A'!K$27:K$29)</f>
        <v>619.2977404126824</v>
      </c>
      <c r="K63" s="20">
        <f>SUM('[3]SG&amp;A'!L$27:L$29)</f>
        <v>644.06965002918969</v>
      </c>
      <c r="L63" s="20">
        <f>SUM('[3]SG&amp;A'!M$27:M$29)</f>
        <v>669.83243603035726</v>
      </c>
      <c r="N63" s="212"/>
      <c r="P63" s="217"/>
    </row>
    <row r="64" spans="1:16">
      <c r="B64" s="19" t="str">
        <f>$B$10</f>
        <v>Bonus</v>
      </c>
      <c r="C64" s="20"/>
      <c r="D64" s="20">
        <f>'[3]SG&amp;A'!E$30</f>
        <v>39.33</v>
      </c>
      <c r="E64" s="20">
        <f>'[3]SG&amp;A'!F$30</f>
        <v>40.903199999999998</v>
      </c>
      <c r="F64" s="20">
        <f>'[3]SG&amp;A'!G$30</f>
        <v>42.539328000000005</v>
      </c>
      <c r="G64" s="20">
        <f>'[3]SG&amp;A'!H$30</f>
        <v>44.240901120000004</v>
      </c>
      <c r="H64" s="20">
        <f>'[3]SG&amp;A'!I$30</f>
        <v>46.010537164800006</v>
      </c>
      <c r="I64" s="20">
        <f>'[3]SG&amp;A'!J$30</f>
        <v>47.850958651392006</v>
      </c>
      <c r="J64" s="20">
        <f>'[3]SG&amp;A'!K$30</f>
        <v>49.764996997447689</v>
      </c>
      <c r="K64" s="20">
        <f>'[3]SG&amp;A'!L$30</f>
        <v>51.755596877345596</v>
      </c>
      <c r="L64" s="20">
        <f>'[3]SG&amp;A'!M$30</f>
        <v>53.825820752439427</v>
      </c>
      <c r="N64" s="212"/>
      <c r="P64" s="217"/>
    </row>
    <row r="65" spans="1:16">
      <c r="B65" s="19" t="str">
        <f>$B$11</f>
        <v>T&amp;E</v>
      </c>
      <c r="C65" s="20"/>
      <c r="D65" s="20">
        <f>'[3]SG&amp;A'!E$34</f>
        <v>200</v>
      </c>
      <c r="E65" s="20">
        <f>'[3]SG&amp;A'!F$34</f>
        <v>304.98</v>
      </c>
      <c r="F65" s="20">
        <f>'[3]SG&amp;A'!G$34</f>
        <v>311.07959999999997</v>
      </c>
      <c r="G65" s="20">
        <f>'[3]SG&amp;A'!H$34</f>
        <v>317.30119200000001</v>
      </c>
      <c r="H65" s="20">
        <f>'[3]SG&amp;A'!I$34</f>
        <v>323.64721584</v>
      </c>
      <c r="I65" s="20">
        <f>'[3]SG&amp;A'!J$34</f>
        <v>330.12016015680001</v>
      </c>
      <c r="J65" s="20">
        <f>'[3]SG&amp;A'!K$34</f>
        <v>336.72256335993603</v>
      </c>
      <c r="K65" s="20">
        <f>'[3]SG&amp;A'!L$34</f>
        <v>343.4570146271347</v>
      </c>
      <c r="L65" s="20">
        <f>'[3]SG&amp;A'!M$34</f>
        <v>350.32615491967744</v>
      </c>
      <c r="N65" s="212"/>
      <c r="P65" s="217"/>
    </row>
    <row r="66" spans="1:16">
      <c r="B66" s="19" t="str">
        <f>$B$12</f>
        <v>Outside Services</v>
      </c>
      <c r="C66" s="20"/>
      <c r="D66" s="20">
        <f>'[3]SG&amp;A'!E$32</f>
        <v>552</v>
      </c>
      <c r="E66" s="20">
        <f>'[3]SG&amp;A'!F$32</f>
        <v>568.56000000000006</v>
      </c>
      <c r="F66" s="20">
        <f>'[3]SG&amp;A'!G$32</f>
        <v>585.61680000000013</v>
      </c>
      <c r="G66" s="20">
        <f>'[3]SG&amp;A'!H$32</f>
        <v>603.1853040000002</v>
      </c>
      <c r="H66" s="20">
        <f>'[3]SG&amp;A'!I$32</f>
        <v>621.28086312000028</v>
      </c>
      <c r="I66" s="20">
        <f>'[3]SG&amp;A'!J$32</f>
        <v>639.91928901360029</v>
      </c>
      <c r="J66" s="20">
        <f>'[3]SG&amp;A'!K$32</f>
        <v>659.1168676840083</v>
      </c>
      <c r="K66" s="20">
        <f>'[3]SG&amp;A'!L$32</f>
        <v>678.89037371452855</v>
      </c>
      <c r="L66" s="20">
        <f>'[3]SG&amp;A'!M$32</f>
        <v>699.25708492596448</v>
      </c>
      <c r="N66" s="212"/>
      <c r="P66" s="217"/>
    </row>
    <row r="67" spans="1:16">
      <c r="B67" s="19" t="str">
        <f>$B$13</f>
        <v>Sales &amp; Marketing</v>
      </c>
      <c r="C67" s="20"/>
      <c r="D67" s="20">
        <f>'[3]SG&amp;A'!E$33</f>
        <v>0</v>
      </c>
      <c r="E67" s="20">
        <f>'[3]SG&amp;A'!F$33</f>
        <v>0</v>
      </c>
      <c r="F67" s="20">
        <f>'[3]SG&amp;A'!G$33</f>
        <v>0</v>
      </c>
      <c r="G67" s="20">
        <f>'[3]SG&amp;A'!H$33</f>
        <v>0</v>
      </c>
      <c r="H67" s="20">
        <f>'[3]SG&amp;A'!I$33</f>
        <v>0</v>
      </c>
      <c r="I67" s="20">
        <f>'[3]SG&amp;A'!J$33</f>
        <v>0</v>
      </c>
      <c r="J67" s="20">
        <f>'[3]SG&amp;A'!K$33</f>
        <v>0</v>
      </c>
      <c r="K67" s="20">
        <f>'[3]SG&amp;A'!L$33</f>
        <v>0</v>
      </c>
      <c r="L67" s="20">
        <f>'[3]SG&amp;A'!M$33</f>
        <v>0</v>
      </c>
      <c r="N67" s="212"/>
      <c r="P67" s="217"/>
    </row>
    <row r="68" spans="1:16">
      <c r="B68" s="19" t="str">
        <f>$B$14</f>
        <v>Licenses, Fees, and Insurance</v>
      </c>
      <c r="C68" s="20"/>
      <c r="D68" s="20">
        <f>'[3]SG&amp;A'!E$35</f>
        <v>18.600000000000001</v>
      </c>
      <c r="E68" s="20">
        <f>'[3]SG&amp;A'!F$35</f>
        <v>19.158000000000001</v>
      </c>
      <c r="F68" s="20">
        <f>'[3]SG&amp;A'!G$35</f>
        <v>19.732740000000003</v>
      </c>
      <c r="G68" s="20">
        <f>'[3]SG&amp;A'!H$35</f>
        <v>20.324722200000004</v>
      </c>
      <c r="H68" s="20">
        <f>'[3]SG&amp;A'!I$35</f>
        <v>20.934463866000005</v>
      </c>
      <c r="I68" s="20">
        <f>'[3]SG&amp;A'!J$35</f>
        <v>21.562497781980007</v>
      </c>
      <c r="J68" s="20">
        <f>'[3]SG&amp;A'!K$35</f>
        <v>22.209372715439407</v>
      </c>
      <c r="K68" s="20">
        <f>'[3]SG&amp;A'!L$35</f>
        <v>22.875653896902591</v>
      </c>
      <c r="L68" s="20">
        <f>'[3]SG&amp;A'!M$35</f>
        <v>23.561923513809671</v>
      </c>
      <c r="N68" s="212"/>
      <c r="P68" s="217"/>
    </row>
    <row r="69" spans="1:16">
      <c r="B69" s="19" t="str">
        <f>$B$15</f>
        <v>IT</v>
      </c>
      <c r="C69" s="20"/>
      <c r="D69" s="20">
        <f>'[3]SG&amp;A'!E$36</f>
        <v>220</v>
      </c>
      <c r="E69" s="20">
        <f>'[3]SG&amp;A'!F$36</f>
        <v>226.6</v>
      </c>
      <c r="F69" s="20">
        <f>'[3]SG&amp;A'!G$36</f>
        <v>233.398</v>
      </c>
      <c r="G69" s="20">
        <f>'[3]SG&amp;A'!H$36</f>
        <v>240.39994000000002</v>
      </c>
      <c r="H69" s="20">
        <f>'[3]SG&amp;A'!I$36</f>
        <v>247.61193820000003</v>
      </c>
      <c r="I69" s="20">
        <f>'[3]SG&amp;A'!J$36</f>
        <v>255.04029634600002</v>
      </c>
      <c r="J69" s="20">
        <f>'[3]SG&amp;A'!K$36</f>
        <v>262.69150523638001</v>
      </c>
      <c r="K69" s="20">
        <f>'[3]SG&amp;A'!L$36</f>
        <v>270.57225039347139</v>
      </c>
      <c r="L69" s="20">
        <f>'[3]SG&amp;A'!M$36</f>
        <v>278.68941790527555</v>
      </c>
      <c r="N69" s="212"/>
      <c r="P69" s="217"/>
    </row>
    <row r="70" spans="1:16">
      <c r="B70" s="19" t="str">
        <f>$B$16</f>
        <v>Shipping &amp; Storage</v>
      </c>
      <c r="C70" s="20"/>
      <c r="D70" s="20">
        <f>'[3]SG&amp;A'!E$37</f>
        <v>31</v>
      </c>
      <c r="E70" s="20">
        <f>'[3]SG&amp;A'!F$37</f>
        <v>31</v>
      </c>
      <c r="F70" s="20">
        <f>'[3]SG&amp;A'!G$37</f>
        <v>31</v>
      </c>
      <c r="G70" s="20">
        <f>'[3]SG&amp;A'!H$37</f>
        <v>31</v>
      </c>
      <c r="H70" s="20">
        <f>'[3]SG&amp;A'!I$37</f>
        <v>31</v>
      </c>
      <c r="I70" s="20">
        <f>'[3]SG&amp;A'!J$37</f>
        <v>31</v>
      </c>
      <c r="J70" s="20">
        <f>'[3]SG&amp;A'!K$37</f>
        <v>31</v>
      </c>
      <c r="K70" s="20">
        <f>'[3]SG&amp;A'!L$37</f>
        <v>31</v>
      </c>
      <c r="L70" s="20">
        <f>'[3]SG&amp;A'!M$37</f>
        <v>31</v>
      </c>
      <c r="N70" s="212"/>
      <c r="P70" s="217"/>
    </row>
    <row r="71" spans="1:16">
      <c r="B71" s="19" t="str">
        <f>$B$17</f>
        <v>Office Rent, Utilities, &amp; Equipment</v>
      </c>
      <c r="C71" s="20"/>
      <c r="D71" s="20">
        <f>'[3]SG&amp;A'!E$39</f>
        <v>168.60000000000002</v>
      </c>
      <c r="E71" s="20">
        <f>'[3]SG&amp;A'!F$39</f>
        <v>171.12900000000002</v>
      </c>
      <c r="F71" s="20">
        <f>'[3]SG&amp;A'!G$39</f>
        <v>173.69593499999999</v>
      </c>
      <c r="G71" s="20">
        <f>'[3]SG&amp;A'!H$39</f>
        <v>176.30137402499997</v>
      </c>
      <c r="H71" s="20">
        <f>'[3]SG&amp;A'!I$39</f>
        <v>178.94589463537494</v>
      </c>
      <c r="I71" s="20">
        <f>'[3]SG&amp;A'!J$39</f>
        <v>181.63008305490555</v>
      </c>
      <c r="J71" s="20">
        <f>'[3]SG&amp;A'!K$39</f>
        <v>184.35453430072911</v>
      </c>
      <c r="K71" s="20">
        <f>'[3]SG&amp;A'!L$39</f>
        <v>187.11985231524002</v>
      </c>
      <c r="L71" s="20">
        <f>'[3]SG&amp;A'!M$39</f>
        <v>189.92665009996861</v>
      </c>
      <c r="N71" s="212"/>
      <c r="P71" s="217"/>
    </row>
    <row r="72" spans="1:16">
      <c r="B72" s="19" t="str">
        <f>$B$18</f>
        <v>Lab Supplies</v>
      </c>
      <c r="C72" s="20"/>
      <c r="D72" s="20">
        <f>'[3]SG&amp;A'!E$38</f>
        <v>0</v>
      </c>
      <c r="E72" s="20">
        <f>'[3]SG&amp;A'!F$38</f>
        <v>0</v>
      </c>
      <c r="F72" s="20">
        <f>'[3]SG&amp;A'!G$38</f>
        <v>0</v>
      </c>
      <c r="G72" s="20">
        <f>'[3]SG&amp;A'!H$38</f>
        <v>0</v>
      </c>
      <c r="H72" s="20">
        <f>'[3]SG&amp;A'!I$38</f>
        <v>0</v>
      </c>
      <c r="I72" s="20">
        <f>'[3]SG&amp;A'!J$38</f>
        <v>0</v>
      </c>
      <c r="J72" s="20">
        <f>'[3]SG&amp;A'!K$38</f>
        <v>0</v>
      </c>
      <c r="K72" s="20">
        <f>'[3]SG&amp;A'!L$38</f>
        <v>0</v>
      </c>
      <c r="L72" s="20">
        <f>'[3]SG&amp;A'!M$38</f>
        <v>0</v>
      </c>
      <c r="N72" s="212"/>
      <c r="P72" s="217"/>
    </row>
    <row r="73" spans="1:16">
      <c r="B73" s="214" t="str">
        <f>$B$19</f>
        <v>Plants</v>
      </c>
      <c r="C73" s="202"/>
      <c r="D73" s="20"/>
      <c r="E73" s="20"/>
      <c r="F73" s="20"/>
      <c r="G73" s="20"/>
      <c r="H73" s="20"/>
      <c r="I73" s="20"/>
      <c r="J73" s="20"/>
      <c r="K73" s="20"/>
      <c r="L73" s="20"/>
      <c r="N73" s="212"/>
      <c r="P73" s="217"/>
    </row>
    <row r="74" spans="1:16">
      <c r="B74" s="214" t="str">
        <f>$B$20</f>
        <v>Other Expenses</v>
      </c>
      <c r="C74" s="129"/>
      <c r="D74" s="20">
        <f>'[3]SG&amp;A'!E$40</f>
        <v>0</v>
      </c>
      <c r="E74" s="20">
        <f>'[3]SG&amp;A'!F$40</f>
        <v>0</v>
      </c>
      <c r="F74" s="20">
        <f>'[3]SG&amp;A'!G$40</f>
        <v>0</v>
      </c>
      <c r="G74" s="20">
        <f>'[3]SG&amp;A'!H$40</f>
        <v>0</v>
      </c>
      <c r="H74" s="20">
        <f>'[3]SG&amp;A'!I$40</f>
        <v>0</v>
      </c>
      <c r="I74" s="20">
        <f>'[3]SG&amp;A'!J$40</f>
        <v>0</v>
      </c>
      <c r="J74" s="20">
        <f>'[3]SG&amp;A'!K$40</f>
        <v>0</v>
      </c>
      <c r="K74" s="20">
        <f>'[3]SG&amp;A'!L$40</f>
        <v>0</v>
      </c>
      <c r="L74" s="20">
        <f>'[3]SG&amp;A'!M$40</f>
        <v>0</v>
      </c>
      <c r="N74" s="212"/>
      <c r="P74" s="217"/>
    </row>
    <row r="75" spans="1:16">
      <c r="B75" s="103" t="str">
        <f>$B$21</f>
        <v>Overhead COGS Alloc</v>
      </c>
      <c r="C75" s="129"/>
      <c r="D75" s="202"/>
      <c r="E75" s="202"/>
      <c r="F75" s="202"/>
      <c r="G75" s="202"/>
      <c r="H75" s="202"/>
      <c r="I75" s="202"/>
      <c r="J75" s="202"/>
      <c r="K75" s="202"/>
      <c r="L75" s="202"/>
      <c r="N75" s="213"/>
      <c r="P75" s="217"/>
    </row>
    <row r="76" spans="1:16">
      <c r="B76" s="103" t="s">
        <v>638</v>
      </c>
      <c r="C76" s="455"/>
      <c r="D76" s="487"/>
      <c r="E76" s="487"/>
      <c r="F76" s="487"/>
      <c r="G76" s="487"/>
      <c r="H76" s="487"/>
      <c r="I76" s="487"/>
      <c r="J76" s="487"/>
      <c r="K76" s="487"/>
      <c r="L76" s="487"/>
      <c r="N76" s="213"/>
      <c r="P76" s="217"/>
    </row>
    <row r="77" spans="1:16" ht="14.25" thickBot="1">
      <c r="A77" s="279"/>
      <c r="B77" s="23" t="str">
        <f>$B$149</f>
        <v>Total SGA</v>
      </c>
      <c r="C77" s="24"/>
      <c r="D77" s="24">
        <f>SUM(D63:D76)</f>
        <v>1718.9699999999998</v>
      </c>
      <c r="E77" s="24">
        <f t="shared" ref="E77" si="27">SUM(E63:E76)</f>
        <v>1871.3478</v>
      </c>
      <c r="F77" s="24">
        <f t="shared" ref="F77" si="28">SUM(F63:F76)</f>
        <v>1926.4407069999997</v>
      </c>
      <c r="G77" s="24">
        <f t="shared" ref="G77" si="29">SUM(G63:G76)</f>
        <v>1983.3068695050006</v>
      </c>
      <c r="H77" s="24">
        <f t="shared" ref="H77" si="30">SUM(H63:H76)</f>
        <v>2042.0064864325752</v>
      </c>
      <c r="I77" s="24">
        <f t="shared" ref="I77" si="31">SUM(I63:I76)</f>
        <v>2102.6018815553343</v>
      </c>
      <c r="J77" s="24">
        <f t="shared" ref="J77" si="32">SUM(J63:J76)</f>
        <v>2165.1575807066229</v>
      </c>
      <c r="K77" s="24">
        <f t="shared" ref="K77" si="33">SUM(K63:K76)</f>
        <v>2229.7403918538125</v>
      </c>
      <c r="L77" s="24">
        <f t="shared" ref="L77" si="34">SUM(L63:L76)</f>
        <v>2296.4194881474928</v>
      </c>
      <c r="N77" s="126"/>
      <c r="P77" s="220"/>
    </row>
    <row r="78" spans="1:16" ht="3.75" customHeight="1">
      <c r="C78" s="129"/>
      <c r="D78" s="129"/>
      <c r="E78" s="129"/>
      <c r="F78" s="129"/>
      <c r="G78" s="129"/>
      <c r="H78" s="129"/>
      <c r="I78" s="129"/>
      <c r="J78" s="129"/>
      <c r="K78" s="129"/>
      <c r="L78" s="129"/>
      <c r="N78" s="215"/>
      <c r="P78" s="215"/>
    </row>
    <row r="79" spans="1:16">
      <c r="B79" s="431" t="s">
        <v>614</v>
      </c>
      <c r="C79" s="431"/>
      <c r="D79" s="431"/>
      <c r="E79" s="431"/>
      <c r="F79" s="431"/>
      <c r="G79" s="431"/>
      <c r="H79" s="431"/>
      <c r="I79" s="431"/>
      <c r="J79" s="431"/>
      <c r="K79" s="431"/>
      <c r="L79" s="431"/>
      <c r="N79" s="431"/>
      <c r="P79" s="431"/>
    </row>
    <row r="80" spans="1:16" ht="3.75" customHeight="1">
      <c r="B80" s="124"/>
      <c r="C80" s="125"/>
      <c r="D80" s="125"/>
      <c r="E80" s="125"/>
      <c r="F80" s="125"/>
      <c r="G80" s="125"/>
      <c r="H80" s="125"/>
      <c r="I80" s="125"/>
      <c r="J80" s="125"/>
      <c r="K80" s="125"/>
      <c r="L80" s="125"/>
      <c r="N80" s="125"/>
      <c r="P80" s="198"/>
    </row>
    <row r="81" spans="2:16">
      <c r="B81" s="19" t="str">
        <f>$B$9</f>
        <v>Salary &amp; Benefits</v>
      </c>
      <c r="C81" s="22"/>
      <c r="D81" s="20">
        <f>SUM('[4]SG&amp;A'!E$9:E$11)</f>
        <v>9245</v>
      </c>
      <c r="E81" s="20">
        <f>SUM('[4]SG&amp;A'!F$9:F$11)</f>
        <v>7589.4</v>
      </c>
      <c r="F81" s="20">
        <f>SUM('[4]SG&amp;A'!G$9:G$11)</f>
        <v>8014.6559999999999</v>
      </c>
      <c r="G81" s="20">
        <f>SUM('[4]SG&amp;A'!H$9:H$11)</f>
        <v>8461.7894400000005</v>
      </c>
      <c r="H81" s="20">
        <f>SUM('[4]SG&amp;A'!I$9:I$11)</f>
        <v>8800.2610176000017</v>
      </c>
      <c r="I81" s="20">
        <f>SUM('[4]SG&amp;A'!J$9:J$11)</f>
        <v>9152.2714583040033</v>
      </c>
      <c r="J81" s="20">
        <f>SUM('[4]SG&amp;A'!K$9:K$11)</f>
        <v>9518.3623166361613</v>
      </c>
      <c r="K81" s="20">
        <f>SUM('[4]SG&amp;A'!L$9:L$11)</f>
        <v>9899.096809301609</v>
      </c>
      <c r="L81" s="20">
        <f>SUM('[4]SG&amp;A'!M$9:M$11)</f>
        <v>10295.060681673676</v>
      </c>
      <c r="N81" s="212"/>
      <c r="P81" s="217"/>
    </row>
    <row r="82" spans="2:16">
      <c r="B82" s="19" t="str">
        <f>$B$10</f>
        <v>Bonus</v>
      </c>
      <c r="C82" s="22"/>
      <c r="D82" s="20">
        <f>'[4]SG&amp;A'!E$12</f>
        <v>1286.4000000000001</v>
      </c>
      <c r="E82" s="20">
        <f>'[4]SG&amp;A'!F$12</f>
        <v>1066.26</v>
      </c>
      <c r="F82" s="20">
        <f>'[4]SG&amp;A'!G$12</f>
        <v>1123.5120000000002</v>
      </c>
      <c r="G82" s="20">
        <f>'[4]SG&amp;A'!H$12</f>
        <v>1183.638144</v>
      </c>
      <c r="H82" s="20">
        <f>'[4]SG&amp;A'!I$12</f>
        <v>1230.9836697600003</v>
      </c>
      <c r="I82" s="20">
        <f>'[4]SG&amp;A'!J$12</f>
        <v>1280.2230165504004</v>
      </c>
      <c r="J82" s="20">
        <f>'[4]SG&amp;A'!K$12</f>
        <v>1331.4319372124164</v>
      </c>
      <c r="K82" s="20">
        <f>'[4]SG&amp;A'!L$12</f>
        <v>1384.6892147009128</v>
      </c>
      <c r="L82" s="20">
        <f>'[4]SG&amp;A'!M$12</f>
        <v>1440.0767832889496</v>
      </c>
      <c r="N82" s="212"/>
      <c r="P82" s="217"/>
    </row>
    <row r="83" spans="2:16">
      <c r="B83" s="19" t="str">
        <f>$B$11</f>
        <v>T&amp;E</v>
      </c>
      <c r="C83" s="22"/>
      <c r="D83" s="20">
        <f>'[4]SG&amp;A'!E$17</f>
        <v>414</v>
      </c>
      <c r="E83" s="20">
        <f>'[4]SG&amp;A'!F$17</f>
        <v>466.92857142857144</v>
      </c>
      <c r="F83" s="20">
        <f>'[4]SG&amp;A'!G$17</f>
        <v>481.36714285714288</v>
      </c>
      <c r="G83" s="20">
        <f>'[4]SG&amp;A'!H$17</f>
        <v>496.1964857142857</v>
      </c>
      <c r="H83" s="20">
        <f>'[4]SG&amp;A'!I$17</f>
        <v>506.12041542857145</v>
      </c>
      <c r="I83" s="20">
        <f>'[4]SG&amp;A'!J$17</f>
        <v>516.24282373714288</v>
      </c>
      <c r="J83" s="20">
        <f>'[4]SG&amp;A'!K$17</f>
        <v>526.56768021188577</v>
      </c>
      <c r="K83" s="20">
        <f>'[4]SG&amp;A'!L$17</f>
        <v>537.09903381612344</v>
      </c>
      <c r="L83" s="20">
        <f>'[4]SG&amp;A'!M$17</f>
        <v>547.84101449244599</v>
      </c>
      <c r="N83" s="212"/>
      <c r="P83" s="217"/>
    </row>
    <row r="84" spans="2:16">
      <c r="B84" s="19" t="str">
        <f>$B$12</f>
        <v>Outside Services</v>
      </c>
      <c r="C84" s="22"/>
      <c r="D84" s="20">
        <f>'[4]SG&amp;A'!E$15</f>
        <v>3101</v>
      </c>
      <c r="E84" s="20">
        <f>'[4]SG&amp;A'!F$15</f>
        <v>3194.03</v>
      </c>
      <c r="F84" s="20">
        <f>'[4]SG&amp;A'!G$15</f>
        <v>3289.8509000000004</v>
      </c>
      <c r="G84" s="20">
        <f>'[4]SG&amp;A'!H$15</f>
        <v>3388.5464269999998</v>
      </c>
      <c r="H84" s="20">
        <f>'[4]SG&amp;A'!I$15</f>
        <v>3490.2028198100002</v>
      </c>
      <c r="I84" s="20">
        <f>'[4]SG&amp;A'!J$15</f>
        <v>3594.9089044043003</v>
      </c>
      <c r="J84" s="20">
        <f>'[4]SG&amp;A'!K$15</f>
        <v>3702.7561715364291</v>
      </c>
      <c r="K84" s="20">
        <f>'[4]SG&amp;A'!L$15</f>
        <v>3813.8388566825229</v>
      </c>
      <c r="L84" s="20">
        <f>'[4]SG&amp;A'!M$15</f>
        <v>3928.2540223829983</v>
      </c>
      <c r="N84" s="212"/>
      <c r="P84" s="217"/>
    </row>
    <row r="85" spans="2:16">
      <c r="B85" s="19" t="str">
        <f>$B$13</f>
        <v>Sales &amp; Marketing</v>
      </c>
      <c r="C85" s="22"/>
      <c r="D85" s="20"/>
      <c r="E85" s="20"/>
      <c r="F85" s="20"/>
      <c r="G85" s="20"/>
      <c r="H85" s="20"/>
      <c r="I85" s="20"/>
      <c r="J85" s="20"/>
      <c r="K85" s="20"/>
      <c r="L85" s="20"/>
      <c r="N85" s="212"/>
      <c r="P85" s="217"/>
    </row>
    <row r="86" spans="2:16">
      <c r="B86" s="19" t="str">
        <f>$B$14</f>
        <v>Licenses, Fees, and Insurance</v>
      </c>
      <c r="C86" s="22"/>
      <c r="D86" s="20">
        <f>'[4]SG&amp;A'!E$18</f>
        <v>24.42</v>
      </c>
      <c r="E86" s="20">
        <f>'[4]SG&amp;A'!F$18</f>
        <v>25.152600000000003</v>
      </c>
      <c r="F86" s="20">
        <f>'[4]SG&amp;A'!G$18</f>
        <v>25.907178000000005</v>
      </c>
      <c r="G86" s="20">
        <f>'[4]SG&amp;A'!H$18</f>
        <v>26.684393340000007</v>
      </c>
      <c r="H86" s="20">
        <f>'[4]SG&amp;A'!I$18</f>
        <v>27.484925140200009</v>
      </c>
      <c r="I86" s="20">
        <f>'[4]SG&amp;A'!J$18</f>
        <v>28.30947289440601</v>
      </c>
      <c r="J86" s="20">
        <f>'[4]SG&amp;A'!K$18</f>
        <v>29.158757081238193</v>
      </c>
      <c r="K86" s="20">
        <f>'[4]SG&amp;A'!L$18</f>
        <v>30.033519793675339</v>
      </c>
      <c r="L86" s="20">
        <f>'[4]SG&amp;A'!M$18</f>
        <v>30.9345253874856</v>
      </c>
      <c r="N86" s="212"/>
      <c r="P86" s="217"/>
    </row>
    <row r="87" spans="2:16">
      <c r="B87" s="19" t="str">
        <f>$B$15</f>
        <v>IT</v>
      </c>
      <c r="C87" s="22"/>
      <c r="D87" s="20">
        <f>'[4]SG&amp;A'!E$19</f>
        <v>1475.8</v>
      </c>
      <c r="E87" s="20">
        <f>'[4]SG&amp;A'!F$19</f>
        <v>1520.0739999999998</v>
      </c>
      <c r="F87" s="20">
        <f>'[4]SG&amp;A'!G$19</f>
        <v>1565.6762200000001</v>
      </c>
      <c r="G87" s="20">
        <f>'[4]SG&amp;A'!H$19</f>
        <v>1612.6465066000003</v>
      </c>
      <c r="H87" s="20">
        <f>'[4]SG&amp;A'!I$19</f>
        <v>1661.0259017980002</v>
      </c>
      <c r="I87" s="20">
        <f>'[4]SG&amp;A'!J$19</f>
        <v>1710.8566788519402</v>
      </c>
      <c r="J87" s="20">
        <f>'[4]SG&amp;A'!K$19</f>
        <v>1762.1823792174985</v>
      </c>
      <c r="K87" s="20">
        <f>'[4]SG&amp;A'!L$19</f>
        <v>1815.0478505940234</v>
      </c>
      <c r="L87" s="20">
        <f>'[4]SG&amp;A'!M$19</f>
        <v>1869.4992861118442</v>
      </c>
      <c r="N87" s="212"/>
      <c r="P87" s="217"/>
    </row>
    <row r="88" spans="2:16">
      <c r="B88" s="19" t="str">
        <f>$B$16</f>
        <v>Shipping &amp; Storage</v>
      </c>
      <c r="C88" s="22"/>
      <c r="D88" s="20">
        <f>'[4]SG&amp;A'!E$20</f>
        <v>55.9</v>
      </c>
      <c r="E88" s="20">
        <f>'[4]SG&amp;A'!F$20</f>
        <v>57.576999999999998</v>
      </c>
      <c r="F88" s="20">
        <f>'[4]SG&amp;A'!G$20</f>
        <v>59.304310000000001</v>
      </c>
      <c r="G88" s="20">
        <f>'[4]SG&amp;A'!H$20</f>
        <v>61.083439300000002</v>
      </c>
      <c r="H88" s="20">
        <f>'[4]SG&amp;A'!I$20</f>
        <v>62.915942479000002</v>
      </c>
      <c r="I88" s="20">
        <f>'[4]SG&amp;A'!J$20</f>
        <v>64.803420753370006</v>
      </c>
      <c r="J88" s="20">
        <f>'[4]SG&amp;A'!K$20</f>
        <v>66.747523375971113</v>
      </c>
      <c r="K88" s="20">
        <f>'[4]SG&amp;A'!L$20</f>
        <v>68.749949077250236</v>
      </c>
      <c r="L88" s="20">
        <f>'[4]SG&amp;A'!M$20</f>
        <v>70.81244754956775</v>
      </c>
      <c r="N88" s="212"/>
      <c r="P88" s="217"/>
    </row>
    <row r="89" spans="2:16">
      <c r="B89" s="19" t="str">
        <f>$B$17</f>
        <v>Office Rent, Utilities, &amp; Equipment</v>
      </c>
      <c r="C89" s="22"/>
      <c r="D89" s="20">
        <f>'[4]SG&amp;A'!E$22</f>
        <v>5290</v>
      </c>
      <c r="E89" s="20">
        <f>'[4]SG&amp;A'!F$22</f>
        <v>5448.7</v>
      </c>
      <c r="F89" s="20">
        <f>'[4]SG&amp;A'!G$22</f>
        <v>5612.161000000001</v>
      </c>
      <c r="G89" s="20">
        <f>'[4]SG&amp;A'!H$22</f>
        <v>5780.5258300000005</v>
      </c>
      <c r="H89" s="20">
        <f>'[4]SG&amp;A'!I$22</f>
        <v>5953.941604900001</v>
      </c>
      <c r="I89" s="20">
        <f>'[4]SG&amp;A'!J$22</f>
        <v>6132.5598530470006</v>
      </c>
      <c r="J89" s="20">
        <f>'[4]SG&amp;A'!K$22</f>
        <v>6316.53664863841</v>
      </c>
      <c r="K89" s="20">
        <f>'[4]SG&amp;A'!L$22</f>
        <v>6506.0327480975639</v>
      </c>
      <c r="L89" s="20">
        <f>'[4]SG&amp;A'!M$22</f>
        <v>6701.2137305404904</v>
      </c>
      <c r="N89" s="212"/>
      <c r="P89" s="217"/>
    </row>
    <row r="90" spans="2:16">
      <c r="B90" s="19" t="str">
        <f>$B$18</f>
        <v>Lab Supplies</v>
      </c>
      <c r="C90" s="22"/>
      <c r="D90" s="20">
        <f>'[4]SG&amp;A'!E$21</f>
        <v>684</v>
      </c>
      <c r="E90" s="20">
        <f>'[4]SG&amp;A'!F$21</f>
        <v>704.52</v>
      </c>
      <c r="F90" s="20">
        <f>'[4]SG&amp;A'!G$21</f>
        <v>725.65560000000005</v>
      </c>
      <c r="G90" s="20">
        <f>'[4]SG&amp;A'!H$21</f>
        <v>747.42526800000007</v>
      </c>
      <c r="H90" s="20">
        <f>'[4]SG&amp;A'!I$21</f>
        <v>769.84802604000015</v>
      </c>
      <c r="I90" s="20">
        <f>'[4]SG&amp;A'!J$21</f>
        <v>792.94346682120022</v>
      </c>
      <c r="J90" s="20">
        <f>'[4]SG&amp;A'!K$21</f>
        <v>816.73177082583618</v>
      </c>
      <c r="K90" s="20">
        <f>'[4]SG&amp;A'!L$21</f>
        <v>841.23372395061119</v>
      </c>
      <c r="L90" s="20">
        <f>'[4]SG&amp;A'!M$21</f>
        <v>866.47073566912957</v>
      </c>
      <c r="N90" s="212"/>
      <c r="P90" s="217"/>
    </row>
    <row r="91" spans="2:16">
      <c r="B91" s="214" t="str">
        <f>$B$19</f>
        <v>Plants</v>
      </c>
      <c r="C91" s="22"/>
      <c r="D91" s="20"/>
      <c r="E91" s="20"/>
      <c r="F91" s="20"/>
      <c r="G91" s="20"/>
      <c r="H91" s="20"/>
      <c r="I91" s="20"/>
      <c r="J91" s="20"/>
      <c r="K91" s="20"/>
      <c r="L91" s="20"/>
      <c r="N91" s="212"/>
      <c r="P91" s="217"/>
    </row>
    <row r="92" spans="2:16">
      <c r="B92" s="214" t="str">
        <f>$B$20</f>
        <v>Other Expenses</v>
      </c>
      <c r="C92" s="22"/>
      <c r="D92" s="20">
        <f t="shared" ref="D92" si="35">C92 * (1 + $N92)</f>
        <v>0</v>
      </c>
      <c r="E92" s="20">
        <f t="shared" ref="E92:L92" si="36">D92 * (1 + $N92)</f>
        <v>0</v>
      </c>
      <c r="F92" s="20">
        <f t="shared" si="36"/>
        <v>0</v>
      </c>
      <c r="G92" s="20">
        <f t="shared" si="36"/>
        <v>0</v>
      </c>
      <c r="H92" s="20">
        <f t="shared" si="36"/>
        <v>0</v>
      </c>
      <c r="I92" s="20">
        <f t="shared" si="36"/>
        <v>0</v>
      </c>
      <c r="J92" s="20">
        <f t="shared" si="36"/>
        <v>0</v>
      </c>
      <c r="K92" s="20">
        <f t="shared" si="36"/>
        <v>0</v>
      </c>
      <c r="L92" s="20">
        <f t="shared" si="36"/>
        <v>0</v>
      </c>
      <c r="N92" s="212"/>
      <c r="P92" s="217"/>
    </row>
    <row r="93" spans="2:16">
      <c r="B93" s="103" t="str">
        <f>$B$21</f>
        <v>Overhead COGS Alloc</v>
      </c>
      <c r="C93" s="22"/>
      <c r="D93" s="20">
        <f>_xlfn.XLOOKUP(D$3, 'Nth Bio Revenue &amp; COGS'!$E$3:$M$3, 'Nth Bio Revenue &amp; COGS'!$E$91:$M$91, 0)</f>
        <v>-2510</v>
      </c>
      <c r="E93" s="20">
        <f>_xlfn.XLOOKUP(E$3, 'Nth Bio Revenue &amp; COGS'!$E$3:$M$3, 'Nth Bio Revenue &amp; COGS'!$E$91:$M$91, 0)</f>
        <v>-2780.6344827586208</v>
      </c>
      <c r="F93" s="20">
        <f>_xlfn.XLOOKUP(F$3, 'Nth Bio Revenue &amp; COGS'!$E$3:$M$3, 'Nth Bio Revenue &amp; COGS'!$E$91:$M$91, 0)</f>
        <v>-4947.1426573426579</v>
      </c>
      <c r="G93" s="20">
        <f>_xlfn.XLOOKUP(G$3, 'Nth Bio Revenue &amp; COGS'!$E$3:$M$3, 'Nth Bio Revenue &amp; COGS'!$E$91:$M$91, 0)</f>
        <v>-11873.097000000002</v>
      </c>
      <c r="H93" s="20">
        <f>_xlfn.XLOOKUP(H$3, 'Nth Bio Revenue &amp; COGS'!$E$3:$M$3, 'Nth Bio Revenue &amp; COGS'!$E$91:$M$91, 0)</f>
        <v>-12232.755486000002</v>
      </c>
      <c r="I93" s="20">
        <f>_xlfn.XLOOKUP(I$3, 'Nth Bio Revenue &amp; COGS'!$E$3:$M$3, 'Nth Bio Revenue &amp; COGS'!$E$91:$M$91, 0)</f>
        <v>-12593.783154456001</v>
      </c>
      <c r="J93" s="20">
        <f>_xlfn.XLOOKUP(J$3, 'Nth Bio Revenue &amp; COGS'!$E$3:$M$3, 'Nth Bio Revenue &amp; COGS'!$E$91:$M$91, 0)</f>
        <v>-12955.068888819878</v>
      </c>
      <c r="K93" s="20">
        <f>_xlfn.XLOOKUP(K$3, 'Nth Bio Revenue &amp; COGS'!$E$3:$M$3, 'Nth Bio Revenue &amp; COGS'!$E$91:$M$91, 0)</f>
        <v>-13315.362266843464</v>
      </c>
      <c r="L93" s="20">
        <f>_xlfn.XLOOKUP(L$3, 'Nth Bio Revenue &amp; COGS'!$E$3:$M$3, 'Nth Bio Revenue &amp; COGS'!$E$91:$M$91, 0)</f>
        <v>-13981.130380185641</v>
      </c>
      <c r="N93" s="212"/>
      <c r="P93" s="217"/>
    </row>
    <row r="94" spans="2:16">
      <c r="B94" s="103" t="s">
        <v>638</v>
      </c>
      <c r="C94" s="455"/>
      <c r="D94" s="487">
        <f>-D$244 - D$268</f>
        <v>-1711.4111689512595</v>
      </c>
      <c r="E94" s="487">
        <f t="shared" ref="E94:L94" si="37">-E$244 - E$268</f>
        <v>-7652.3931138277167</v>
      </c>
      <c r="F94" s="487">
        <f t="shared" si="37"/>
        <v>-6807.1494791988007</v>
      </c>
      <c r="G94" s="487">
        <f t="shared" si="37"/>
        <v>-5200</v>
      </c>
      <c r="H94" s="487">
        <f t="shared" si="37"/>
        <v>0</v>
      </c>
      <c r="I94" s="487">
        <f t="shared" si="37"/>
        <v>0</v>
      </c>
      <c r="J94" s="487">
        <f t="shared" si="37"/>
        <v>0</v>
      </c>
      <c r="K94" s="487">
        <f t="shared" si="37"/>
        <v>0</v>
      </c>
      <c r="L94" s="487">
        <f t="shared" si="37"/>
        <v>0</v>
      </c>
      <c r="N94" s="213"/>
      <c r="P94" s="217"/>
    </row>
    <row r="95" spans="2:16" ht="14.25" thickBot="1">
      <c r="B95" s="23" t="str">
        <f>B23</f>
        <v>Total SGA</v>
      </c>
      <c r="C95" s="24"/>
      <c r="D95" s="24">
        <f>SUM(D81:D94)</f>
        <v>17355.108831048736</v>
      </c>
      <c r="E95" s="24">
        <f t="shared" ref="E95" si="38">SUM(E81:E94)</f>
        <v>9639.6145748422332</v>
      </c>
      <c r="F95" s="24">
        <f t="shared" ref="F95" si="39">SUM(F81:F94)</f>
        <v>9143.7982143156842</v>
      </c>
      <c r="G95" s="24">
        <f t="shared" ref="G95" si="40">SUM(G81:G94)</f>
        <v>4685.4389339542831</v>
      </c>
      <c r="H95" s="24">
        <f t="shared" ref="H95" si="41">SUM(H81:H94)</f>
        <v>10270.028836955771</v>
      </c>
      <c r="I95" s="24">
        <f t="shared" ref="I95" si="42">SUM(I81:I94)</f>
        <v>10679.335940907762</v>
      </c>
      <c r="J95" s="24">
        <f t="shared" ref="J95" si="43">SUM(J81:J94)</f>
        <v>11115.406295915975</v>
      </c>
      <c r="K95" s="24">
        <f t="shared" ref="K95" si="44">SUM(K81:K94)</f>
        <v>11580.459439170829</v>
      </c>
      <c r="L95" s="24">
        <f t="shared" ref="L95" si="45">SUM(L81:L94)</f>
        <v>11769.032846910944</v>
      </c>
      <c r="N95" s="126"/>
      <c r="P95" s="220"/>
    </row>
    <row r="96" spans="2:16" ht="3.75" customHeight="1">
      <c r="B96" s="176"/>
      <c r="C96" s="260"/>
      <c r="D96" s="260"/>
      <c r="E96" s="260"/>
      <c r="F96" s="260"/>
      <c r="G96" s="260"/>
      <c r="H96" s="260"/>
      <c r="I96" s="260"/>
      <c r="J96" s="260"/>
      <c r="K96" s="260"/>
      <c r="L96" s="260"/>
      <c r="N96" s="220"/>
      <c r="P96" s="220"/>
    </row>
    <row r="97" spans="2:16">
      <c r="B97" s="431" t="s">
        <v>615</v>
      </c>
      <c r="C97" s="431"/>
      <c r="D97" s="431"/>
      <c r="E97" s="431"/>
      <c r="F97" s="431"/>
      <c r="G97" s="431"/>
      <c r="H97" s="431"/>
      <c r="I97" s="431"/>
      <c r="J97" s="431"/>
      <c r="K97" s="431"/>
      <c r="L97" s="431"/>
      <c r="N97" s="431"/>
      <c r="P97" s="431"/>
    </row>
    <row r="98" spans="2:16" ht="3.75" customHeight="1">
      <c r="B98" s="124"/>
      <c r="C98" s="125"/>
      <c r="D98" s="125"/>
      <c r="E98" s="125"/>
      <c r="F98" s="125"/>
      <c r="G98" s="125"/>
      <c r="H98" s="125"/>
      <c r="I98" s="125"/>
      <c r="J98" s="125"/>
      <c r="K98" s="125"/>
      <c r="L98" s="125"/>
      <c r="N98" s="125"/>
      <c r="P98" s="198"/>
    </row>
    <row r="99" spans="2:16">
      <c r="B99" s="19" t="str">
        <f>$B$9</f>
        <v>Salary &amp; Benefits</v>
      </c>
      <c r="C99" s="22"/>
      <c r="D99" s="20">
        <f>SUM('[4]SG&amp;A'!E$27:E$29)</f>
        <v>0</v>
      </c>
      <c r="E99" s="20">
        <f>SUM('[4]SG&amp;A'!F$27:F$29)</f>
        <v>0</v>
      </c>
      <c r="F99" s="20">
        <f>SUM('[4]SG&amp;A'!G$27:G$29)</f>
        <v>0</v>
      </c>
      <c r="G99" s="20">
        <f>SUM('[4]SG&amp;A'!H$27:H$29)</f>
        <v>0</v>
      </c>
      <c r="H99" s="20">
        <f>SUM('[4]SG&amp;A'!I$27:I$29)</f>
        <v>0</v>
      </c>
      <c r="I99" s="20">
        <f>SUM('[4]SG&amp;A'!J$27:J$29)</f>
        <v>0</v>
      </c>
      <c r="J99" s="20">
        <f>SUM('[4]SG&amp;A'!K$27:K$29)</f>
        <v>0</v>
      </c>
      <c r="K99" s="20">
        <f>SUM('[4]SG&amp;A'!L$27:L$29)</f>
        <v>0</v>
      </c>
      <c r="L99" s="20">
        <f>SUM('[4]SG&amp;A'!M$27:M$29)</f>
        <v>0</v>
      </c>
      <c r="N99" s="212"/>
      <c r="P99" s="217"/>
    </row>
    <row r="100" spans="2:16">
      <c r="B100" s="19" t="str">
        <f>$B$10</f>
        <v>Bonus</v>
      </c>
      <c r="C100" s="22"/>
      <c r="D100" s="20">
        <f>'[4]SG&amp;A'!E$30</f>
        <v>0</v>
      </c>
      <c r="E100" s="20">
        <f>'[4]SG&amp;A'!F$30</f>
        <v>0</v>
      </c>
      <c r="F100" s="20">
        <f>'[4]SG&amp;A'!G$30</f>
        <v>0</v>
      </c>
      <c r="G100" s="20">
        <f>'[4]SG&amp;A'!H$30</f>
        <v>0</v>
      </c>
      <c r="H100" s="20">
        <f>'[4]SG&amp;A'!I$30</f>
        <v>0</v>
      </c>
      <c r="I100" s="20">
        <f>'[4]SG&amp;A'!J$30</f>
        <v>0</v>
      </c>
      <c r="J100" s="20">
        <f>'[4]SG&amp;A'!K$30</f>
        <v>0</v>
      </c>
      <c r="K100" s="20">
        <f>'[4]SG&amp;A'!L$30</f>
        <v>0</v>
      </c>
      <c r="L100" s="20">
        <f>'[4]SG&amp;A'!M$30</f>
        <v>0</v>
      </c>
      <c r="N100" s="212"/>
      <c r="P100" s="217"/>
    </row>
    <row r="101" spans="2:16">
      <c r="B101" s="19" t="str">
        <f>$B$11</f>
        <v>T&amp;E</v>
      </c>
      <c r="C101" s="22"/>
      <c r="D101" s="20">
        <f>'[4]SG&amp;A'!E$35</f>
        <v>0</v>
      </c>
      <c r="E101" s="20">
        <f>'[4]SG&amp;A'!F$35</f>
        <v>0</v>
      </c>
      <c r="F101" s="20">
        <f>'[4]SG&amp;A'!G$35</f>
        <v>0</v>
      </c>
      <c r="G101" s="20">
        <f>'[4]SG&amp;A'!H$35</f>
        <v>0</v>
      </c>
      <c r="H101" s="20">
        <f>'[4]SG&amp;A'!I$35</f>
        <v>0</v>
      </c>
      <c r="I101" s="20">
        <f>'[4]SG&amp;A'!J$35</f>
        <v>0</v>
      </c>
      <c r="J101" s="20">
        <f>'[4]SG&amp;A'!K$35</f>
        <v>0</v>
      </c>
      <c r="K101" s="20">
        <f>'[4]SG&amp;A'!L$35</f>
        <v>0</v>
      </c>
      <c r="L101" s="20">
        <f>'[4]SG&amp;A'!M$35</f>
        <v>0</v>
      </c>
      <c r="N101" s="212">
        <v>0.03</v>
      </c>
      <c r="P101" s="217"/>
    </row>
    <row r="102" spans="2:16">
      <c r="B102" s="19" t="str">
        <f>$B$12</f>
        <v>Outside Services</v>
      </c>
      <c r="C102" s="22"/>
      <c r="D102" s="20">
        <f>'[4]SG&amp;A'!E$33</f>
        <v>0</v>
      </c>
      <c r="E102" s="20">
        <f>'[4]SG&amp;A'!F$33</f>
        <v>0</v>
      </c>
      <c r="F102" s="20">
        <f>'[4]SG&amp;A'!G$33</f>
        <v>0</v>
      </c>
      <c r="G102" s="20">
        <f>'[4]SG&amp;A'!H$33</f>
        <v>0</v>
      </c>
      <c r="H102" s="20">
        <f>'[4]SG&amp;A'!I$33</f>
        <v>0</v>
      </c>
      <c r="I102" s="20">
        <f>'[4]SG&amp;A'!J$33</f>
        <v>0</v>
      </c>
      <c r="J102" s="20">
        <f>'[4]SG&amp;A'!K$33</f>
        <v>0</v>
      </c>
      <c r="K102" s="20">
        <f>'[4]SG&amp;A'!L$33</f>
        <v>0</v>
      </c>
      <c r="L102" s="20">
        <f>'[4]SG&amp;A'!M$33</f>
        <v>0</v>
      </c>
      <c r="N102" s="212">
        <v>0.02</v>
      </c>
      <c r="P102" s="217"/>
    </row>
    <row r="103" spans="2:16">
      <c r="B103" s="19" t="str">
        <f>$B$13</f>
        <v>Sales &amp; Marketing</v>
      </c>
      <c r="C103" s="22"/>
      <c r="D103" s="20">
        <f>'[4]SG&amp;A'!E$34</f>
        <v>0</v>
      </c>
      <c r="E103" s="20">
        <f>'[4]SG&amp;A'!F$34</f>
        <v>0</v>
      </c>
      <c r="F103" s="20">
        <f>'[4]SG&amp;A'!G$34</f>
        <v>0</v>
      </c>
      <c r="G103" s="20">
        <f>'[4]SG&amp;A'!H$34</f>
        <v>0</v>
      </c>
      <c r="H103" s="20">
        <f>'[4]SG&amp;A'!I$34</f>
        <v>0</v>
      </c>
      <c r="I103" s="20">
        <f>'[4]SG&amp;A'!J$34</f>
        <v>0</v>
      </c>
      <c r="J103" s="20">
        <f>'[4]SG&amp;A'!K$34</f>
        <v>0</v>
      </c>
      <c r="K103" s="20">
        <f>'[4]SG&amp;A'!L$34</f>
        <v>0</v>
      </c>
      <c r="L103" s="20">
        <f>'[4]SG&amp;A'!M$34</f>
        <v>0</v>
      </c>
      <c r="N103" s="212">
        <v>0.02</v>
      </c>
      <c r="P103" s="217"/>
    </row>
    <row r="104" spans="2:16">
      <c r="B104" s="19" t="str">
        <f>$B$14</f>
        <v>Licenses, Fees, and Insurance</v>
      </c>
      <c r="C104" s="22"/>
      <c r="D104" s="20">
        <f>'[4]SG&amp;A'!E$36</f>
        <v>0</v>
      </c>
      <c r="E104" s="20">
        <f>'[4]SG&amp;A'!F$36</f>
        <v>0</v>
      </c>
      <c r="F104" s="20">
        <f>'[4]SG&amp;A'!G$36</f>
        <v>0</v>
      </c>
      <c r="G104" s="20">
        <f>'[4]SG&amp;A'!H$36</f>
        <v>0</v>
      </c>
      <c r="H104" s="20">
        <f>'[4]SG&amp;A'!I$36</f>
        <v>0</v>
      </c>
      <c r="I104" s="20">
        <f>'[4]SG&amp;A'!J$36</f>
        <v>0</v>
      </c>
      <c r="J104" s="20">
        <f>'[4]SG&amp;A'!K$36</f>
        <v>0</v>
      </c>
      <c r="K104" s="20">
        <f>'[4]SG&amp;A'!L$36</f>
        <v>0</v>
      </c>
      <c r="L104" s="20">
        <f>'[4]SG&amp;A'!M$36</f>
        <v>0</v>
      </c>
      <c r="N104" s="212">
        <v>0.03</v>
      </c>
      <c r="P104" s="217"/>
    </row>
    <row r="105" spans="2:16">
      <c r="B105" s="19" t="str">
        <f>$B$15</f>
        <v>IT</v>
      </c>
      <c r="C105" s="22"/>
      <c r="D105" s="20">
        <f>'[4]SG&amp;A'!E$37</f>
        <v>0</v>
      </c>
      <c r="E105" s="20">
        <f>'[4]SG&amp;A'!F$37</f>
        <v>0</v>
      </c>
      <c r="F105" s="20">
        <f>'[4]SG&amp;A'!G$37</f>
        <v>0</v>
      </c>
      <c r="G105" s="20">
        <f>'[4]SG&amp;A'!H$37</f>
        <v>0</v>
      </c>
      <c r="H105" s="20">
        <f>'[4]SG&amp;A'!I$37</f>
        <v>0</v>
      </c>
      <c r="I105" s="20">
        <f>'[4]SG&amp;A'!J$37</f>
        <v>0</v>
      </c>
      <c r="J105" s="20">
        <f>'[4]SG&amp;A'!K$37</f>
        <v>0</v>
      </c>
      <c r="K105" s="20">
        <f>'[4]SG&amp;A'!L$37</f>
        <v>0</v>
      </c>
      <c r="L105" s="20">
        <f>'[4]SG&amp;A'!M$37</f>
        <v>0</v>
      </c>
      <c r="N105" s="212">
        <v>0.03</v>
      </c>
      <c r="P105" s="217"/>
    </row>
    <row r="106" spans="2:16">
      <c r="B106" s="19" t="str">
        <f>$B$16</f>
        <v>Shipping &amp; Storage</v>
      </c>
      <c r="C106" s="22"/>
      <c r="D106" s="20">
        <f>'[4]SG&amp;A'!E$38</f>
        <v>0</v>
      </c>
      <c r="E106" s="20">
        <f>'[4]SG&amp;A'!F$38</f>
        <v>0</v>
      </c>
      <c r="F106" s="20">
        <f>'[4]SG&amp;A'!G$38</f>
        <v>0</v>
      </c>
      <c r="G106" s="20">
        <f>'[4]SG&amp;A'!H$38</f>
        <v>0</v>
      </c>
      <c r="H106" s="20">
        <f>'[4]SG&amp;A'!I$38</f>
        <v>0</v>
      </c>
      <c r="I106" s="20">
        <f>'[4]SG&amp;A'!J$38</f>
        <v>0</v>
      </c>
      <c r="J106" s="20">
        <f>'[4]SG&amp;A'!K$38</f>
        <v>0</v>
      </c>
      <c r="K106" s="20">
        <f>'[4]SG&amp;A'!L$38</f>
        <v>0</v>
      </c>
      <c r="L106" s="20">
        <f>'[4]SG&amp;A'!M$38</f>
        <v>0</v>
      </c>
      <c r="N106" s="212">
        <v>0.03</v>
      </c>
      <c r="P106" s="217"/>
    </row>
    <row r="107" spans="2:16">
      <c r="B107" s="19" t="str">
        <f>$B$17</f>
        <v>Office Rent, Utilities, &amp; Equipment</v>
      </c>
      <c r="C107" s="22"/>
      <c r="D107" s="20">
        <f>'[4]SG&amp;A'!E$40</f>
        <v>0</v>
      </c>
      <c r="E107" s="20">
        <f>'[4]SG&amp;A'!F$40</f>
        <v>0</v>
      </c>
      <c r="F107" s="20">
        <f>'[4]SG&amp;A'!G$40</f>
        <v>0</v>
      </c>
      <c r="G107" s="20">
        <f>'[4]SG&amp;A'!H$40</f>
        <v>0</v>
      </c>
      <c r="H107" s="20">
        <f>'[4]SG&amp;A'!I$40</f>
        <v>0</v>
      </c>
      <c r="I107" s="20">
        <f>'[4]SG&amp;A'!J$40</f>
        <v>0</v>
      </c>
      <c r="J107" s="20">
        <f>'[4]SG&amp;A'!K$40</f>
        <v>0</v>
      </c>
      <c r="K107" s="20">
        <f>'[4]SG&amp;A'!L$40</f>
        <v>0</v>
      </c>
      <c r="L107" s="20">
        <f>'[4]SG&amp;A'!M$40</f>
        <v>0</v>
      </c>
      <c r="N107" s="212">
        <v>0.03</v>
      </c>
      <c r="P107" s="217"/>
    </row>
    <row r="108" spans="2:16">
      <c r="B108" s="19" t="str">
        <f>$B$18</f>
        <v>Lab Supplies</v>
      </c>
      <c r="C108" s="22"/>
      <c r="D108" s="20">
        <f>'[4]SG&amp;A'!E$39</f>
        <v>0</v>
      </c>
      <c r="E108" s="20">
        <f>'[4]SG&amp;A'!F$39</f>
        <v>0</v>
      </c>
      <c r="F108" s="20">
        <f>'[4]SG&amp;A'!G$39</f>
        <v>0</v>
      </c>
      <c r="G108" s="20">
        <f>'[4]SG&amp;A'!H$39</f>
        <v>0</v>
      </c>
      <c r="H108" s="20">
        <f>'[4]SG&amp;A'!I$39</f>
        <v>0</v>
      </c>
      <c r="I108" s="20">
        <f>'[4]SG&amp;A'!J$39</f>
        <v>0</v>
      </c>
      <c r="J108" s="20">
        <f>'[4]SG&amp;A'!K$39</f>
        <v>0</v>
      </c>
      <c r="K108" s="20">
        <f>'[4]SG&amp;A'!L$39</f>
        <v>0</v>
      </c>
      <c r="L108" s="20">
        <f>'[4]SG&amp;A'!M$39</f>
        <v>0</v>
      </c>
      <c r="N108" s="212">
        <v>0.03</v>
      </c>
      <c r="P108" s="217"/>
    </row>
    <row r="109" spans="2:16">
      <c r="B109" s="214" t="str">
        <f>$B$19</f>
        <v>Plants</v>
      </c>
      <c r="C109" s="218"/>
      <c r="D109" s="20"/>
      <c r="E109" s="20"/>
      <c r="F109" s="20"/>
      <c r="G109" s="20"/>
      <c r="H109" s="20"/>
      <c r="I109" s="20"/>
      <c r="J109" s="20"/>
      <c r="K109" s="20"/>
      <c r="L109" s="20"/>
      <c r="N109" s="219"/>
      <c r="P109" s="217"/>
    </row>
    <row r="110" spans="2:16">
      <c r="B110" s="214" t="str">
        <f>$B$20</f>
        <v>Other Expenses</v>
      </c>
      <c r="C110" s="218"/>
      <c r="D110" s="20">
        <f>'[4]SG&amp;A'!E$41</f>
        <v>0</v>
      </c>
      <c r="E110" s="20">
        <f>'[4]SG&amp;A'!F$41</f>
        <v>0</v>
      </c>
      <c r="F110" s="20">
        <f>'[4]SG&amp;A'!G$41</f>
        <v>0</v>
      </c>
      <c r="G110" s="20">
        <f>'[4]SG&amp;A'!H$41</f>
        <v>0</v>
      </c>
      <c r="H110" s="20">
        <f>'[4]SG&amp;A'!I$41</f>
        <v>0</v>
      </c>
      <c r="I110" s="20">
        <f>'[4]SG&amp;A'!J$41</f>
        <v>0</v>
      </c>
      <c r="J110" s="20">
        <f>'[4]SG&amp;A'!K$41</f>
        <v>0</v>
      </c>
      <c r="K110" s="20">
        <f>'[4]SG&amp;A'!L$41</f>
        <v>0</v>
      </c>
      <c r="L110" s="20">
        <f>'[4]SG&amp;A'!M$41</f>
        <v>0</v>
      </c>
      <c r="N110" s="219">
        <v>0.03</v>
      </c>
      <c r="P110" s="217"/>
    </row>
    <row r="111" spans="2:16">
      <c r="B111" s="103" t="str">
        <f>$B$21</f>
        <v>Overhead COGS Alloc</v>
      </c>
      <c r="C111" s="455"/>
      <c r="D111" s="202"/>
      <c r="E111" s="202"/>
      <c r="F111" s="202"/>
      <c r="G111" s="202"/>
      <c r="H111" s="202"/>
      <c r="I111" s="202"/>
      <c r="J111" s="202"/>
      <c r="K111" s="202"/>
      <c r="L111" s="202"/>
      <c r="N111" s="213"/>
      <c r="P111" s="217"/>
    </row>
    <row r="112" spans="2:16">
      <c r="B112" s="103" t="s">
        <v>638</v>
      </c>
      <c r="C112" s="455"/>
      <c r="D112" s="487"/>
      <c r="E112" s="487"/>
      <c r="F112" s="487"/>
      <c r="G112" s="487"/>
      <c r="H112" s="487"/>
      <c r="I112" s="487"/>
      <c r="J112" s="487"/>
      <c r="K112" s="487"/>
      <c r="L112" s="487"/>
      <c r="N112" s="213"/>
      <c r="P112" s="217"/>
    </row>
    <row r="113" spans="2:16" ht="14.25" thickBot="1">
      <c r="B113" s="23" t="str">
        <f>B81</f>
        <v>Salary &amp; Benefits</v>
      </c>
      <c r="C113" s="24"/>
      <c r="D113" s="24">
        <f>SUM(D99:D112)</f>
        <v>0</v>
      </c>
      <c r="E113" s="24">
        <f t="shared" ref="E113" si="46">SUM(E99:E112)</f>
        <v>0</v>
      </c>
      <c r="F113" s="24">
        <f t="shared" ref="F113" si="47">SUM(F99:F112)</f>
        <v>0</v>
      </c>
      <c r="G113" s="24">
        <f t="shared" ref="G113" si="48">SUM(G99:G112)</f>
        <v>0</v>
      </c>
      <c r="H113" s="24">
        <f t="shared" ref="H113" si="49">SUM(H99:H112)</f>
        <v>0</v>
      </c>
      <c r="I113" s="24">
        <f t="shared" ref="I113" si="50">SUM(I99:I112)</f>
        <v>0</v>
      </c>
      <c r="J113" s="24">
        <f t="shared" ref="J113" si="51">SUM(J99:J112)</f>
        <v>0</v>
      </c>
      <c r="K113" s="24">
        <f t="shared" ref="K113" si="52">SUM(K99:K112)</f>
        <v>0</v>
      </c>
      <c r="L113" s="24">
        <f t="shared" ref="L113" si="53">SUM(L99:L112)</f>
        <v>0</v>
      </c>
      <c r="N113" s="126"/>
      <c r="P113" s="220"/>
    </row>
    <row r="114" spans="2:16" ht="3.75" customHeight="1">
      <c r="B114" s="176"/>
      <c r="C114" s="260"/>
      <c r="D114" s="260"/>
      <c r="E114" s="260"/>
      <c r="F114" s="260"/>
      <c r="G114" s="260"/>
      <c r="H114" s="260"/>
      <c r="I114" s="260"/>
      <c r="J114" s="260"/>
      <c r="K114" s="260"/>
      <c r="L114" s="260"/>
      <c r="N114" s="220"/>
      <c r="P114" s="220"/>
    </row>
    <row r="115" spans="2:16">
      <c r="B115" s="431" t="s">
        <v>620</v>
      </c>
      <c r="C115" s="431"/>
      <c r="D115" s="431"/>
      <c r="E115" s="431"/>
      <c r="F115" s="431"/>
      <c r="G115" s="431"/>
      <c r="H115" s="431"/>
      <c r="I115" s="431"/>
      <c r="J115" s="431"/>
      <c r="K115" s="431"/>
      <c r="L115" s="431"/>
      <c r="N115" s="431"/>
      <c r="P115" s="431"/>
    </row>
    <row r="116" spans="2:16" ht="3.75" customHeight="1">
      <c r="B116" s="124"/>
      <c r="C116" s="128"/>
      <c r="D116" s="128"/>
      <c r="E116" s="128"/>
      <c r="F116" s="128"/>
      <c r="G116" s="128"/>
      <c r="H116" s="128"/>
      <c r="I116" s="128"/>
      <c r="J116" s="128"/>
      <c r="K116" s="128"/>
      <c r="L116" s="128"/>
      <c r="N116" s="221"/>
      <c r="P116" s="213"/>
    </row>
    <row r="117" spans="2:16">
      <c r="B117" s="19" t="str">
        <f>$B$9</f>
        <v>Salary &amp; Benefits</v>
      </c>
      <c r="C117" s="20"/>
      <c r="D117" s="20">
        <f>SUM('[4]SG&amp;A'!E$45:E$47)</f>
        <v>207.5</v>
      </c>
      <c r="E117" s="20">
        <f>SUM('[4]SG&amp;A'!F$45:F$47)</f>
        <v>431.6</v>
      </c>
      <c r="F117" s="20">
        <f>SUM('[4]SG&amp;A'!G$45:G$47)</f>
        <v>448.86400000000003</v>
      </c>
      <c r="G117" s="20">
        <f>SUM('[4]SG&amp;A'!H$45:H$47)</f>
        <v>466.81856000000005</v>
      </c>
      <c r="H117" s="20">
        <f>SUM('[4]SG&amp;A'!I$45:I$47)</f>
        <v>485.49130240000005</v>
      </c>
      <c r="I117" s="20">
        <f>SUM('[4]SG&amp;A'!J$45:J$47)</f>
        <v>504.91095449599999</v>
      </c>
      <c r="J117" s="20">
        <f>SUM('[4]SG&amp;A'!K$45:K$47)</f>
        <v>525.10739267584006</v>
      </c>
      <c r="K117" s="20">
        <f>SUM('[4]SG&amp;A'!L$45:L$47)</f>
        <v>546.11168838287369</v>
      </c>
      <c r="L117" s="20">
        <f>SUM('[4]SG&amp;A'!M$45:M$47)</f>
        <v>567.95615591818864</v>
      </c>
      <c r="N117" s="212"/>
      <c r="P117" s="217"/>
    </row>
    <row r="118" spans="2:16">
      <c r="B118" s="19" t="str">
        <f>$B$10</f>
        <v>Bonus</v>
      </c>
      <c r="C118" s="20"/>
      <c r="D118" s="20">
        <f>'[4]SG&amp;A'!E$48</f>
        <v>29.88</v>
      </c>
      <c r="E118" s="20">
        <f>'[4]SG&amp;A'!F$48</f>
        <v>62.150400000000005</v>
      </c>
      <c r="F118" s="20">
        <f>'[4]SG&amp;A'!G$48</f>
        <v>64.636415999999997</v>
      </c>
      <c r="G118" s="20">
        <f>'[4]SG&amp;A'!H$48</f>
        <v>67.221872640000001</v>
      </c>
      <c r="H118" s="20">
        <f>'[4]SG&amp;A'!I$48</f>
        <v>69.910747545600003</v>
      </c>
      <c r="I118" s="20">
        <f>'[4]SG&amp;A'!J$48</f>
        <v>72.707177447424002</v>
      </c>
      <c r="J118" s="20">
        <f>'[4]SG&amp;A'!K$48</f>
        <v>75.615464545320961</v>
      </c>
      <c r="K118" s="20">
        <f>'[4]SG&amp;A'!L$48</f>
        <v>78.640083127133806</v>
      </c>
      <c r="L118" s="20">
        <f>'[4]SG&amp;A'!M$48</f>
        <v>81.785686452219167</v>
      </c>
      <c r="N118" s="212"/>
      <c r="P118" s="217"/>
    </row>
    <row r="119" spans="2:16">
      <c r="B119" s="19" t="str">
        <f>$B$11</f>
        <v>T&amp;E</v>
      </c>
      <c r="C119" s="20"/>
      <c r="D119" s="20">
        <f>'[4]SG&amp;A'!E$53</f>
        <v>0</v>
      </c>
      <c r="E119" s="20">
        <f>'[4]SG&amp;A'!F$53</f>
        <v>72</v>
      </c>
      <c r="F119" s="20">
        <f>'[4]SG&amp;A'!G$53</f>
        <v>79.56</v>
      </c>
      <c r="G119" s="20">
        <f>'[4]SG&amp;A'!H$53</f>
        <v>89.474400000000003</v>
      </c>
      <c r="H119" s="20">
        <f>'[4]SG&amp;A'!I$53</f>
        <v>91.263888000000009</v>
      </c>
      <c r="I119" s="20">
        <f>'[4]SG&amp;A'!J$53</f>
        <v>93.089165760000014</v>
      </c>
      <c r="J119" s="20">
        <f>'[4]SG&amp;A'!K$53</f>
        <v>94.950949075200015</v>
      </c>
      <c r="K119" s="20">
        <f>'[4]SG&amp;A'!L$53</f>
        <v>96.849968056704029</v>
      </c>
      <c r="L119" s="20">
        <f>'[4]SG&amp;A'!M$53</f>
        <v>98.786967417838099</v>
      </c>
      <c r="N119" s="212">
        <v>0.03</v>
      </c>
      <c r="P119" s="217"/>
    </row>
    <row r="120" spans="2:16">
      <c r="B120" s="19" t="str">
        <f>$B$12</f>
        <v>Outside Services</v>
      </c>
      <c r="C120" s="20"/>
      <c r="D120" s="20">
        <f>'[4]SG&amp;A'!E$51</f>
        <v>0</v>
      </c>
      <c r="E120" s="20">
        <f>'[4]SG&amp;A'!F$51</f>
        <v>0</v>
      </c>
      <c r="F120" s="20">
        <f>'[4]SG&amp;A'!G$51</f>
        <v>0</v>
      </c>
      <c r="G120" s="20">
        <f>'[4]SG&amp;A'!H$51</f>
        <v>0</v>
      </c>
      <c r="H120" s="20">
        <f>'[4]SG&amp;A'!I$51</f>
        <v>0</v>
      </c>
      <c r="I120" s="20">
        <f>'[4]SG&amp;A'!J$51</f>
        <v>0</v>
      </c>
      <c r="J120" s="20">
        <f>'[4]SG&amp;A'!K$51</f>
        <v>0</v>
      </c>
      <c r="K120" s="20">
        <f>'[4]SG&amp;A'!L$51</f>
        <v>0</v>
      </c>
      <c r="L120" s="20">
        <f>'[4]SG&amp;A'!M$51</f>
        <v>0</v>
      </c>
      <c r="N120" s="212">
        <v>0.15</v>
      </c>
      <c r="P120" s="217"/>
    </row>
    <row r="121" spans="2:16">
      <c r="B121" s="19" t="str">
        <f>$B$13</f>
        <v>Sales &amp; Marketing</v>
      </c>
      <c r="C121" s="20"/>
      <c r="D121" s="20">
        <f>'[4]SG&amp;A'!E$52</f>
        <v>0</v>
      </c>
      <c r="E121" s="20">
        <f>'[4]SG&amp;A'!F$52</f>
        <v>0</v>
      </c>
      <c r="F121" s="20">
        <f>'[4]SG&amp;A'!G$52</f>
        <v>0</v>
      </c>
      <c r="G121" s="20">
        <f>'[4]SG&amp;A'!H$52</f>
        <v>0</v>
      </c>
      <c r="H121" s="20">
        <f>'[4]SG&amp;A'!I$52</f>
        <v>0</v>
      </c>
      <c r="I121" s="20">
        <f>'[4]SG&amp;A'!J$52</f>
        <v>0</v>
      </c>
      <c r="J121" s="20">
        <f>'[4]SG&amp;A'!K$52</f>
        <v>0</v>
      </c>
      <c r="K121" s="20">
        <f>'[4]SG&amp;A'!L$52</f>
        <v>0</v>
      </c>
      <c r="L121" s="20">
        <f>'[4]SG&amp;A'!M$52</f>
        <v>0</v>
      </c>
      <c r="N121" s="212">
        <v>0.17</v>
      </c>
      <c r="P121" s="217"/>
    </row>
    <row r="122" spans="2:16">
      <c r="B122" s="19" t="str">
        <f>$B$14</f>
        <v>Licenses, Fees, and Insurance</v>
      </c>
      <c r="C122" s="20"/>
      <c r="D122" s="20">
        <f>'[4]SG&amp;A'!E$54</f>
        <v>0</v>
      </c>
      <c r="E122" s="20">
        <f>'[4]SG&amp;A'!F$54</f>
        <v>0</v>
      </c>
      <c r="F122" s="20">
        <f>'[4]SG&amp;A'!G$54</f>
        <v>0</v>
      </c>
      <c r="G122" s="20">
        <f>'[4]SG&amp;A'!H$54</f>
        <v>0</v>
      </c>
      <c r="H122" s="20">
        <f>'[4]SG&amp;A'!I$54</f>
        <v>0</v>
      </c>
      <c r="I122" s="20">
        <f>'[4]SG&amp;A'!J$54</f>
        <v>0</v>
      </c>
      <c r="J122" s="20">
        <f>'[4]SG&amp;A'!K$54</f>
        <v>0</v>
      </c>
      <c r="K122" s="20">
        <f>'[4]SG&amp;A'!L$54</f>
        <v>0</v>
      </c>
      <c r="L122" s="20">
        <f>'[4]SG&amp;A'!M$54</f>
        <v>0</v>
      </c>
      <c r="N122" s="212">
        <v>0.03</v>
      </c>
      <c r="P122" s="217"/>
    </row>
    <row r="123" spans="2:16">
      <c r="B123" s="19" t="str">
        <f>$B$15</f>
        <v>IT</v>
      </c>
      <c r="C123" s="20"/>
      <c r="D123" s="20">
        <f>'[4]SG&amp;A'!E$55</f>
        <v>18</v>
      </c>
      <c r="E123" s="20">
        <f>'[4]SG&amp;A'!F$55</f>
        <v>18.54</v>
      </c>
      <c r="F123" s="20">
        <f>'[4]SG&amp;A'!G$55</f>
        <v>19.0962</v>
      </c>
      <c r="G123" s="20">
        <f>'[4]SG&amp;A'!H$55</f>
        <v>19.669086</v>
      </c>
      <c r="H123" s="20">
        <f>'[4]SG&amp;A'!I$55</f>
        <v>20.259158580000001</v>
      </c>
      <c r="I123" s="20">
        <f>'[4]SG&amp;A'!J$55</f>
        <v>20.866933337400003</v>
      </c>
      <c r="J123" s="20">
        <f>'[4]SG&amp;A'!K$55</f>
        <v>21.492941337522002</v>
      </c>
      <c r="K123" s="20">
        <f>'[4]SG&amp;A'!L$55</f>
        <v>22.137729577647661</v>
      </c>
      <c r="L123" s="20">
        <f>'[4]SG&amp;A'!M$55</f>
        <v>22.80186146497709</v>
      </c>
      <c r="N123" s="212">
        <v>0.03</v>
      </c>
      <c r="P123" s="217"/>
    </row>
    <row r="124" spans="2:16">
      <c r="B124" s="19" t="str">
        <f>$B$16</f>
        <v>Shipping &amp; Storage</v>
      </c>
      <c r="C124" s="20"/>
      <c r="D124" s="20">
        <f>'[4]SG&amp;A'!E$56</f>
        <v>30</v>
      </c>
      <c r="E124" s="20">
        <f>'[4]SG&amp;A'!F$56</f>
        <v>30.900000000000002</v>
      </c>
      <c r="F124" s="20">
        <f>'[4]SG&amp;A'!G$56</f>
        <v>31.827000000000002</v>
      </c>
      <c r="G124" s="20">
        <f>'[4]SG&amp;A'!H$56</f>
        <v>32.78181</v>
      </c>
      <c r="H124" s="20">
        <f>'[4]SG&amp;A'!I$56</f>
        <v>33.765264299999998</v>
      </c>
      <c r="I124" s="20">
        <f>'[4]SG&amp;A'!J$56</f>
        <v>34.778222229000001</v>
      </c>
      <c r="J124" s="20">
        <f>'[4]SG&amp;A'!K$56</f>
        <v>35.821568895870001</v>
      </c>
      <c r="K124" s="20">
        <f>'[4]SG&amp;A'!L$56</f>
        <v>36.896215962746105</v>
      </c>
      <c r="L124" s="20">
        <f>'[4]SG&amp;A'!M$56</f>
        <v>38.003102441628492</v>
      </c>
      <c r="N124" s="212">
        <v>0.03</v>
      </c>
      <c r="P124" s="217"/>
    </row>
    <row r="125" spans="2:16">
      <c r="B125" s="19" t="str">
        <f>$B$17</f>
        <v>Office Rent, Utilities, &amp; Equipment</v>
      </c>
      <c r="C125" s="20"/>
      <c r="D125" s="20">
        <f>'[4]SG&amp;A'!E$58</f>
        <v>2138</v>
      </c>
      <c r="E125" s="20">
        <f>'[4]SG&amp;A'!F$58</f>
        <v>2202.14</v>
      </c>
      <c r="F125" s="20">
        <f>'[4]SG&amp;A'!G$58</f>
        <v>2268.2042000000001</v>
      </c>
      <c r="G125" s="20">
        <f>'[4]SG&amp;A'!H$58</f>
        <v>2336.2503260000003</v>
      </c>
      <c r="H125" s="20">
        <f>'[4]SG&amp;A'!I$58</f>
        <v>2406.3378357800002</v>
      </c>
      <c r="I125" s="20">
        <f>'[4]SG&amp;A'!J$58</f>
        <v>2478.5279708534003</v>
      </c>
      <c r="J125" s="20">
        <f>'[4]SG&amp;A'!K$58</f>
        <v>2552.8838099790023</v>
      </c>
      <c r="K125" s="20">
        <f>'[4]SG&amp;A'!L$58</f>
        <v>2629.4703242783726</v>
      </c>
      <c r="L125" s="20">
        <f>'[4]SG&amp;A'!M$58</f>
        <v>2708.3544340067237</v>
      </c>
      <c r="N125" s="212">
        <v>0.03</v>
      </c>
      <c r="P125" s="217"/>
    </row>
    <row r="126" spans="2:16">
      <c r="B126" s="19" t="str">
        <f>$B$18</f>
        <v>Lab Supplies</v>
      </c>
      <c r="C126" s="20"/>
      <c r="D126" s="20">
        <f>'[4]SG&amp;A'!E$57</f>
        <v>120</v>
      </c>
      <c r="E126" s="20">
        <f>'[4]SG&amp;A'!F$57</f>
        <v>123.60000000000001</v>
      </c>
      <c r="F126" s="20">
        <f>'[4]SG&amp;A'!G$57</f>
        <v>127.30800000000001</v>
      </c>
      <c r="G126" s="20">
        <f>'[4]SG&amp;A'!H$57</f>
        <v>131.12724</v>
      </c>
      <c r="H126" s="20">
        <f>'[4]SG&amp;A'!I$57</f>
        <v>135.06105719999999</v>
      </c>
      <c r="I126" s="20">
        <f>'[4]SG&amp;A'!J$57</f>
        <v>139.112888916</v>
      </c>
      <c r="J126" s="20">
        <f>'[4]SG&amp;A'!K$57</f>
        <v>143.28627558348001</v>
      </c>
      <c r="K126" s="20">
        <f>'[4]SG&amp;A'!L$57</f>
        <v>147.58486385098442</v>
      </c>
      <c r="L126" s="20">
        <f>'[4]SG&amp;A'!M$57</f>
        <v>152.01240976651397</v>
      </c>
      <c r="N126" s="212">
        <v>0</v>
      </c>
      <c r="P126" s="217"/>
    </row>
    <row r="127" spans="2:16">
      <c r="B127" s="214" t="str">
        <f>$B$19</f>
        <v>Plants</v>
      </c>
      <c r="C127" s="20"/>
      <c r="D127" s="20"/>
      <c r="E127" s="20"/>
      <c r="F127" s="20"/>
      <c r="G127" s="20"/>
      <c r="H127" s="20"/>
      <c r="I127" s="20"/>
      <c r="J127" s="20"/>
      <c r="K127" s="20"/>
      <c r="L127" s="20"/>
      <c r="N127" s="219"/>
      <c r="P127" s="217"/>
    </row>
    <row r="128" spans="2:16">
      <c r="B128" s="214" t="str">
        <f>$B$20</f>
        <v>Other Expenses</v>
      </c>
      <c r="C128" s="20"/>
      <c r="D128" s="20">
        <f>'[4]SG&amp;A'!E$77</f>
        <v>0</v>
      </c>
      <c r="E128" s="20">
        <f>'[4]SG&amp;A'!F$77</f>
        <v>0</v>
      </c>
      <c r="F128" s="20">
        <f>'[4]SG&amp;A'!G$77</f>
        <v>0</v>
      </c>
      <c r="G128" s="20">
        <f>'[4]SG&amp;A'!H$77</f>
        <v>0</v>
      </c>
      <c r="H128" s="20">
        <f>'[4]SG&amp;A'!I$77</f>
        <v>0</v>
      </c>
      <c r="I128" s="20">
        <f>'[4]SG&amp;A'!J$77</f>
        <v>0</v>
      </c>
      <c r="J128" s="20">
        <f>'[4]SG&amp;A'!K$77</f>
        <v>0</v>
      </c>
      <c r="K128" s="20">
        <f>'[4]SG&amp;A'!L$77</f>
        <v>0</v>
      </c>
      <c r="L128" s="20">
        <f>'[4]SG&amp;A'!M$77</f>
        <v>0</v>
      </c>
      <c r="N128" s="219">
        <v>0.03</v>
      </c>
      <c r="P128" s="217"/>
    </row>
    <row r="129" spans="2:16">
      <c r="B129" s="103" t="str">
        <f>$B$21</f>
        <v>Overhead COGS Alloc</v>
      </c>
      <c r="C129" s="202"/>
      <c r="D129" s="202"/>
      <c r="E129" s="202"/>
      <c r="F129" s="202"/>
      <c r="G129" s="202"/>
      <c r="H129" s="202"/>
      <c r="I129" s="202"/>
      <c r="J129" s="202"/>
      <c r="K129" s="202"/>
      <c r="L129" s="202"/>
      <c r="N129" s="213"/>
      <c r="P129" s="217"/>
    </row>
    <row r="130" spans="2:16">
      <c r="B130" s="103" t="s">
        <v>638</v>
      </c>
      <c r="C130" s="455"/>
      <c r="D130" s="487"/>
      <c r="E130" s="487"/>
      <c r="F130" s="487"/>
      <c r="G130" s="487"/>
      <c r="H130" s="487"/>
      <c r="I130" s="487"/>
      <c r="J130" s="487"/>
      <c r="K130" s="487"/>
      <c r="L130" s="487"/>
      <c r="N130" s="213"/>
      <c r="P130" s="217"/>
    </row>
    <row r="131" spans="2:16" ht="14.25" thickBot="1">
      <c r="B131" s="23" t="str">
        <f>B185</f>
        <v>Total SGA</v>
      </c>
      <c r="C131" s="24"/>
      <c r="D131" s="24">
        <f>SUM(D117:D130)</f>
        <v>2543.38</v>
      </c>
      <c r="E131" s="24">
        <f t="shared" ref="E131" si="54">SUM(E117:E130)</f>
        <v>2940.9303999999997</v>
      </c>
      <c r="F131" s="24">
        <f t="shared" ref="F131" si="55">SUM(F117:F130)</f>
        <v>3039.4958160000001</v>
      </c>
      <c r="G131" s="24">
        <f t="shared" ref="G131" si="56">SUM(G117:G130)</f>
        <v>3143.3432946400003</v>
      </c>
      <c r="H131" s="24">
        <f t="shared" ref="H131" si="57">SUM(H117:H130)</f>
        <v>3242.0892538056</v>
      </c>
      <c r="I131" s="24">
        <f t="shared" ref="I131" si="58">SUM(I117:I130)</f>
        <v>3343.9933130392246</v>
      </c>
      <c r="J131" s="24">
        <f t="shared" ref="J131" si="59">SUM(J117:J130)</f>
        <v>3449.1584020922351</v>
      </c>
      <c r="K131" s="24">
        <f t="shared" ref="K131" si="60">SUM(K117:K130)</f>
        <v>3557.6908732364618</v>
      </c>
      <c r="L131" s="24">
        <f t="shared" ref="L131" si="61">SUM(L117:L130)</f>
        <v>3669.7006174680891</v>
      </c>
      <c r="N131" s="126"/>
      <c r="P131" s="220"/>
    </row>
    <row r="132" spans="2:16" ht="3.75" customHeight="1">
      <c r="B132" s="103"/>
      <c r="C132" s="202"/>
      <c r="D132" s="202"/>
      <c r="E132" s="202"/>
      <c r="F132" s="202"/>
      <c r="G132" s="202"/>
      <c r="H132" s="202"/>
      <c r="I132" s="202"/>
      <c r="J132" s="202"/>
      <c r="K132" s="202"/>
      <c r="L132" s="202"/>
      <c r="N132" s="213"/>
      <c r="P132" s="213"/>
    </row>
    <row r="133" spans="2:16">
      <c r="B133" s="431" t="s">
        <v>619</v>
      </c>
      <c r="C133" s="431"/>
      <c r="D133" s="431"/>
      <c r="E133" s="431"/>
      <c r="F133" s="431"/>
      <c r="G133" s="431"/>
      <c r="H133" s="431"/>
      <c r="I133" s="431"/>
      <c r="J133" s="431"/>
      <c r="K133" s="431"/>
      <c r="L133" s="431"/>
      <c r="N133" s="431"/>
      <c r="P133" s="431"/>
    </row>
    <row r="134" spans="2:16" ht="3.75" customHeight="1">
      <c r="B134" s="124"/>
      <c r="C134" s="128"/>
      <c r="D134" s="128"/>
      <c r="E134" s="128"/>
      <c r="F134" s="128"/>
      <c r="G134" s="128"/>
      <c r="H134" s="128"/>
      <c r="I134" s="128"/>
      <c r="J134" s="128"/>
      <c r="K134" s="128"/>
      <c r="L134" s="128"/>
      <c r="N134" s="221"/>
      <c r="P134" s="213"/>
    </row>
    <row r="135" spans="2:16">
      <c r="B135" s="19" t="str">
        <f>$B$9</f>
        <v>Salary &amp; Benefits</v>
      </c>
      <c r="C135" s="20"/>
      <c r="D135" s="20">
        <f>SUM('[4]SG&amp;A'!E$63:E$65)</f>
        <v>1648.6399999999999</v>
      </c>
      <c r="E135" s="20">
        <f>SUM('[4]SG&amp;A'!F$63:F$65)</f>
        <v>1714.5856000000001</v>
      </c>
      <c r="F135" s="20">
        <f>SUM('[4]SG&amp;A'!G$63:G$65)</f>
        <v>1783.1690240000003</v>
      </c>
      <c r="G135" s="20">
        <f>SUM('[4]SG&amp;A'!H$63:H$65)</f>
        <v>1941.4252748800002</v>
      </c>
      <c r="H135" s="20">
        <f>SUM('[4]SG&amp;A'!I$63:I$65)</f>
        <v>2019.0822858752001</v>
      </c>
      <c r="I135" s="20">
        <f>SUM('[4]SG&amp;A'!J$63:J$65)</f>
        <v>2099.8455773102082</v>
      </c>
      <c r="J135" s="20">
        <f>SUM('[4]SG&amp;A'!K$63:K$65)</f>
        <v>2183.8394004026168</v>
      </c>
      <c r="K135" s="20">
        <f>SUM('[4]SG&amp;A'!L$63:L$65)</f>
        <v>2271.1929764187216</v>
      </c>
      <c r="L135" s="20">
        <f>SUM('[4]SG&amp;A'!M$63:M$65)</f>
        <v>2362.0406954754708</v>
      </c>
      <c r="N135" s="212"/>
      <c r="P135" s="217"/>
    </row>
    <row r="136" spans="2:16">
      <c r="B136" s="19" t="str">
        <f>$B$10</f>
        <v>Bonus</v>
      </c>
      <c r="C136" s="20"/>
      <c r="D136" s="20">
        <f>'[4]SG&amp;A'!E$66</f>
        <v>132.47999999999999</v>
      </c>
      <c r="E136" s="20">
        <f>'[4]SG&amp;A'!F$66</f>
        <v>137.7792</v>
      </c>
      <c r="F136" s="20">
        <f>'[4]SG&amp;A'!G$66</f>
        <v>143.290368</v>
      </c>
      <c r="G136" s="20">
        <f>'[4]SG&amp;A'!H$66</f>
        <v>156.00738816</v>
      </c>
      <c r="H136" s="20">
        <f>'[4]SG&amp;A'!I$66</f>
        <v>162.24768368639999</v>
      </c>
      <c r="I136" s="20">
        <f>'[4]SG&amp;A'!J$66</f>
        <v>168.73759103385601</v>
      </c>
      <c r="J136" s="20">
        <f>'[4]SG&amp;A'!K$66</f>
        <v>175.48709467521027</v>
      </c>
      <c r="K136" s="20">
        <f>'[4]SG&amp;A'!L$66</f>
        <v>182.5065784622187</v>
      </c>
      <c r="L136" s="20">
        <f>'[4]SG&amp;A'!M$66</f>
        <v>189.80684160070746</v>
      </c>
      <c r="N136" s="212">
        <v>0.01</v>
      </c>
      <c r="P136" s="217"/>
    </row>
    <row r="137" spans="2:16">
      <c r="B137" s="19" t="str">
        <f>$B$11</f>
        <v>T&amp;E</v>
      </c>
      <c r="C137" s="20"/>
      <c r="D137" s="20">
        <f>'[4]SG&amp;A'!E$71</f>
        <v>113</v>
      </c>
      <c r="E137" s="20">
        <f>'[4]SG&amp;A'!F$71</f>
        <v>128</v>
      </c>
      <c r="F137" s="20">
        <f>'[4]SG&amp;A'!G$71</f>
        <v>130.56</v>
      </c>
      <c r="G137" s="20">
        <f>'[4]SG&amp;A'!H$71</f>
        <v>139.4136</v>
      </c>
      <c r="H137" s="20">
        <f>'[4]SG&amp;A'!I$71</f>
        <v>142.20187199999998</v>
      </c>
      <c r="I137" s="20">
        <f>'[4]SG&amp;A'!J$71</f>
        <v>145.04590944</v>
      </c>
      <c r="J137" s="20">
        <f>'[4]SG&amp;A'!K$71</f>
        <v>147.94682762880001</v>
      </c>
      <c r="K137" s="20">
        <f>'[4]SG&amp;A'!L$71</f>
        <v>150.90576418137601</v>
      </c>
      <c r="L137" s="20">
        <f>'[4]SG&amp;A'!M$71</f>
        <v>153.92387946500352</v>
      </c>
      <c r="N137" s="212">
        <v>0.03</v>
      </c>
      <c r="P137" s="217"/>
    </row>
    <row r="138" spans="2:16">
      <c r="B138" s="19" t="str">
        <f>$B$12</f>
        <v>Outside Services</v>
      </c>
      <c r="C138" s="20"/>
      <c r="D138" s="20">
        <f>'[4]SG&amp;A'!E$69</f>
        <v>2519</v>
      </c>
      <c r="E138" s="20">
        <f>'[4]SG&amp;A'!F$69</f>
        <v>2594.5700000000002</v>
      </c>
      <c r="F138" s="20">
        <f>'[4]SG&amp;A'!G$69</f>
        <v>2672.4071000000004</v>
      </c>
      <c r="G138" s="20">
        <f>'[4]SG&amp;A'!H$69</f>
        <v>2752.5793130000006</v>
      </c>
      <c r="H138" s="20">
        <f>'[4]SG&amp;A'!I$69</f>
        <v>2835.1566923900009</v>
      </c>
      <c r="I138" s="20">
        <f>'[4]SG&amp;A'!J$69</f>
        <v>2920.2113931617009</v>
      </c>
      <c r="J138" s="20">
        <f>'[4]SG&amp;A'!K$69</f>
        <v>3007.8177349565522</v>
      </c>
      <c r="K138" s="20">
        <f>'[4]SG&amp;A'!L$69</f>
        <v>3098.0522670052487</v>
      </c>
      <c r="L138" s="20">
        <f>'[4]SG&amp;A'!M$69</f>
        <v>3190.9938350154061</v>
      </c>
      <c r="N138" s="212">
        <v>0.01</v>
      </c>
      <c r="P138" s="217"/>
    </row>
    <row r="139" spans="2:16">
      <c r="B139" s="19" t="str">
        <f>$B$13</f>
        <v>Sales &amp; Marketing</v>
      </c>
      <c r="C139" s="20"/>
      <c r="D139" s="20">
        <f>'[4]SG&amp;A'!E$70</f>
        <v>0</v>
      </c>
      <c r="E139" s="20">
        <f>'[4]SG&amp;A'!F$70</f>
        <v>0</v>
      </c>
      <c r="F139" s="20">
        <f>'[4]SG&amp;A'!G$70</f>
        <v>0</v>
      </c>
      <c r="G139" s="20">
        <f>'[4]SG&amp;A'!H$70</f>
        <v>0</v>
      </c>
      <c r="H139" s="20">
        <f>'[4]SG&amp;A'!I$70</f>
        <v>0</v>
      </c>
      <c r="I139" s="20">
        <f>'[4]SG&amp;A'!J$70</f>
        <v>0</v>
      </c>
      <c r="J139" s="20">
        <f>'[4]SG&amp;A'!K$70</f>
        <v>0</v>
      </c>
      <c r="K139" s="20">
        <f>'[4]SG&amp;A'!L$70</f>
        <v>0</v>
      </c>
      <c r="L139" s="20">
        <f>'[4]SG&amp;A'!M$70</f>
        <v>0</v>
      </c>
      <c r="N139" s="212">
        <v>0.01</v>
      </c>
      <c r="P139" s="217"/>
    </row>
    <row r="140" spans="2:16">
      <c r="B140" s="19" t="str">
        <f>$B$14</f>
        <v>Licenses, Fees, and Insurance</v>
      </c>
      <c r="C140" s="20"/>
      <c r="D140" s="20">
        <f>'[4]SG&amp;A'!E$72</f>
        <v>0</v>
      </c>
      <c r="E140" s="20">
        <f>'[4]SG&amp;A'!F$72</f>
        <v>0</v>
      </c>
      <c r="F140" s="20">
        <f>'[4]SG&amp;A'!G$72</f>
        <v>0</v>
      </c>
      <c r="G140" s="20">
        <f>'[4]SG&amp;A'!H$72</f>
        <v>0</v>
      </c>
      <c r="H140" s="20">
        <f>'[4]SG&amp;A'!I$72</f>
        <v>0</v>
      </c>
      <c r="I140" s="20">
        <f>'[4]SG&amp;A'!J$72</f>
        <v>0</v>
      </c>
      <c r="J140" s="20">
        <f>'[4]SG&amp;A'!K$72</f>
        <v>0</v>
      </c>
      <c r="K140" s="20">
        <f>'[4]SG&amp;A'!L$72</f>
        <v>0</v>
      </c>
      <c r="L140" s="20">
        <f>'[4]SG&amp;A'!M$72</f>
        <v>0</v>
      </c>
      <c r="N140" s="212">
        <v>0.03</v>
      </c>
      <c r="P140" s="217"/>
    </row>
    <row r="141" spans="2:16">
      <c r="B141" s="19" t="str">
        <f>$B$15</f>
        <v>IT</v>
      </c>
      <c r="C141" s="20"/>
      <c r="D141" s="20">
        <f>'[4]SG&amp;A'!E$73</f>
        <v>11</v>
      </c>
      <c r="E141" s="20">
        <f>'[4]SG&amp;A'!F$73</f>
        <v>11.33</v>
      </c>
      <c r="F141" s="20">
        <f>'[4]SG&amp;A'!G$73</f>
        <v>11.6699</v>
      </c>
      <c r="G141" s="20">
        <f>'[4]SG&amp;A'!H$73</f>
        <v>12.019997</v>
      </c>
      <c r="H141" s="20">
        <f>'[4]SG&amp;A'!I$73</f>
        <v>12.38059691</v>
      </c>
      <c r="I141" s="20">
        <f>'[4]SG&amp;A'!J$73</f>
        <v>12.752014817299999</v>
      </c>
      <c r="J141" s="20">
        <f>'[4]SG&amp;A'!K$73</f>
        <v>13.134575261819</v>
      </c>
      <c r="K141" s="20">
        <f>'[4]SG&amp;A'!L$73</f>
        <v>13.528612519673571</v>
      </c>
      <c r="L141" s="20">
        <f>'[4]SG&amp;A'!M$73</f>
        <v>13.934470895263779</v>
      </c>
      <c r="N141" s="212">
        <v>0.03</v>
      </c>
      <c r="P141" s="217"/>
    </row>
    <row r="142" spans="2:16">
      <c r="B142" s="19" t="str">
        <f>$B$16</f>
        <v>Shipping &amp; Storage</v>
      </c>
      <c r="C142" s="20"/>
      <c r="D142" s="20">
        <f>'[4]SG&amp;A'!E$74</f>
        <v>639</v>
      </c>
      <c r="E142" s="20">
        <f>'[4]SG&amp;A'!F$74</f>
        <v>658.17000000000007</v>
      </c>
      <c r="F142" s="20">
        <f>'[4]SG&amp;A'!G$74</f>
        <v>677.91510000000005</v>
      </c>
      <c r="G142" s="20">
        <f>'[4]SG&amp;A'!H$74</f>
        <v>698.25255300000003</v>
      </c>
      <c r="H142" s="20">
        <f>'[4]SG&amp;A'!I$74</f>
        <v>719.20012959000007</v>
      </c>
      <c r="I142" s="20">
        <f>'[4]SG&amp;A'!J$74</f>
        <v>740.77613347770011</v>
      </c>
      <c r="J142" s="20">
        <f>'[4]SG&amp;A'!K$74</f>
        <v>762.99941748203116</v>
      </c>
      <c r="K142" s="20">
        <f>'[4]SG&amp;A'!L$74</f>
        <v>785.88940000649211</v>
      </c>
      <c r="L142" s="20">
        <f>'[4]SG&amp;A'!M$74</f>
        <v>809.46608200668686</v>
      </c>
      <c r="N142" s="212">
        <v>0.03</v>
      </c>
      <c r="P142" s="217"/>
    </row>
    <row r="143" spans="2:16">
      <c r="B143" s="19" t="str">
        <f>$B$17</f>
        <v>Office Rent, Utilities, &amp; Equipment</v>
      </c>
      <c r="C143" s="20"/>
      <c r="D143" s="20">
        <f>'[4]SG&amp;A'!E$76</f>
        <v>674.40000000000009</v>
      </c>
      <c r="E143" s="20">
        <f>'[4]SG&amp;A'!F$76</f>
        <v>694.63200000000006</v>
      </c>
      <c r="F143" s="20">
        <f>'[4]SG&amp;A'!G$76</f>
        <v>715.4709600000001</v>
      </c>
      <c r="G143" s="20">
        <f>'[4]SG&amp;A'!H$76</f>
        <v>736.93508880000013</v>
      </c>
      <c r="H143" s="20">
        <f>'[4]SG&amp;A'!I$76</f>
        <v>759.0431414640002</v>
      </c>
      <c r="I143" s="20">
        <f>'[4]SG&amp;A'!J$76</f>
        <v>781.81443570792021</v>
      </c>
      <c r="J143" s="20">
        <f>'[4]SG&amp;A'!K$76</f>
        <v>805.26886877915786</v>
      </c>
      <c r="K143" s="20">
        <f>'[4]SG&amp;A'!L$76</f>
        <v>829.42693484253266</v>
      </c>
      <c r="L143" s="20">
        <f>'[4]SG&amp;A'!M$76</f>
        <v>854.30974288780862</v>
      </c>
      <c r="N143" s="212">
        <v>0.03</v>
      </c>
      <c r="P143" s="217"/>
    </row>
    <row r="144" spans="2:16">
      <c r="B144" s="19" t="str">
        <f>$B$18</f>
        <v>Lab Supplies</v>
      </c>
      <c r="C144" s="20"/>
      <c r="D144" s="20">
        <f>'[4]SG&amp;A'!E$75</f>
        <v>1292</v>
      </c>
      <c r="E144" s="20">
        <f>'[4]SG&amp;A'!F$75</f>
        <v>1330.76</v>
      </c>
      <c r="F144" s="20">
        <f>'[4]SG&amp;A'!G$75</f>
        <v>1370.6828</v>
      </c>
      <c r="G144" s="20">
        <f>'[4]SG&amp;A'!H$75</f>
        <v>1411.8032840000001</v>
      </c>
      <c r="H144" s="20">
        <f>'[4]SG&amp;A'!I$75</f>
        <v>1454.1573825200001</v>
      </c>
      <c r="I144" s="20">
        <f>'[4]SG&amp;A'!J$75</f>
        <v>1497.7821039956002</v>
      </c>
      <c r="J144" s="20">
        <f>'[4]SG&amp;A'!K$75</f>
        <v>1542.7155671154683</v>
      </c>
      <c r="K144" s="20">
        <f>'[4]SG&amp;A'!L$75</f>
        <v>1588.9970341289325</v>
      </c>
      <c r="L144" s="20">
        <f>'[4]SG&amp;A'!M$75</f>
        <v>1636.6669451528005</v>
      </c>
      <c r="N144" s="212">
        <v>0.05</v>
      </c>
      <c r="P144" s="217"/>
    </row>
    <row r="145" spans="2:16">
      <c r="B145" s="214" t="str">
        <f>$B$19</f>
        <v>Plants</v>
      </c>
      <c r="C145" s="20"/>
      <c r="D145" s="20"/>
      <c r="E145" s="20"/>
      <c r="F145" s="20"/>
      <c r="G145" s="20"/>
      <c r="H145" s="20"/>
      <c r="I145" s="20"/>
      <c r="J145" s="20"/>
      <c r="K145" s="20"/>
      <c r="L145" s="20"/>
      <c r="N145" s="219"/>
      <c r="P145" s="217"/>
    </row>
    <row r="146" spans="2:16">
      <c r="B146" s="214" t="str">
        <f>$B$20</f>
        <v>Other Expenses</v>
      </c>
      <c r="C146" s="20"/>
      <c r="D146" s="20">
        <f>'[4]SG&amp;A'!E$77</f>
        <v>0</v>
      </c>
      <c r="E146" s="20">
        <f>'[4]SG&amp;A'!F$77</f>
        <v>0</v>
      </c>
      <c r="F146" s="20">
        <f>'[4]SG&amp;A'!G$77</f>
        <v>0</v>
      </c>
      <c r="G146" s="20">
        <f>'[4]SG&amp;A'!H$77</f>
        <v>0</v>
      </c>
      <c r="H146" s="20">
        <f>'[4]SG&amp;A'!I$77</f>
        <v>0</v>
      </c>
      <c r="I146" s="20">
        <f>'[4]SG&amp;A'!J$77</f>
        <v>0</v>
      </c>
      <c r="J146" s="20">
        <f>'[4]SG&amp;A'!K$77</f>
        <v>0</v>
      </c>
      <c r="K146" s="20">
        <f>'[4]SG&amp;A'!L$77</f>
        <v>0</v>
      </c>
      <c r="L146" s="20">
        <f>'[4]SG&amp;A'!M$77</f>
        <v>0</v>
      </c>
      <c r="N146" s="219">
        <v>0.03</v>
      </c>
      <c r="P146" s="217"/>
    </row>
    <row r="147" spans="2:16">
      <c r="B147" s="103" t="str">
        <f>$B$21</f>
        <v>Overhead COGS Alloc</v>
      </c>
      <c r="C147" s="202"/>
      <c r="D147" s="202"/>
      <c r="E147" s="202"/>
      <c r="F147" s="202"/>
      <c r="G147" s="202"/>
      <c r="H147" s="202"/>
      <c r="I147" s="202"/>
      <c r="J147" s="202"/>
      <c r="K147" s="202"/>
      <c r="L147" s="202"/>
      <c r="N147" s="213"/>
      <c r="P147" s="217"/>
    </row>
    <row r="148" spans="2:16">
      <c r="B148" s="103" t="s">
        <v>638</v>
      </c>
      <c r="C148" s="455"/>
      <c r="D148" s="487"/>
      <c r="E148" s="487"/>
      <c r="F148" s="487"/>
      <c r="G148" s="487"/>
      <c r="H148" s="487"/>
      <c r="I148" s="487"/>
      <c r="J148" s="487"/>
      <c r="K148" s="487"/>
      <c r="L148" s="487"/>
      <c r="N148" s="213"/>
      <c r="P148" s="217"/>
    </row>
    <row r="149" spans="2:16" ht="14.25" thickBot="1">
      <c r="B149" s="23" t="str">
        <f>B131</f>
        <v>Total SGA</v>
      </c>
      <c r="C149" s="24"/>
      <c r="D149" s="24">
        <f>SUM(D135:D148)</f>
        <v>7029.52</v>
      </c>
      <c r="E149" s="24">
        <f t="shared" ref="E149" si="62">SUM(E135:E148)</f>
        <v>7269.8268000000007</v>
      </c>
      <c r="F149" s="24">
        <f t="shared" ref="F149" si="63">SUM(F135:F148)</f>
        <v>7505.1652520000007</v>
      </c>
      <c r="G149" s="24">
        <f t="shared" ref="G149" si="64">SUM(G135:G148)</f>
        <v>7848.4364988400011</v>
      </c>
      <c r="H149" s="24">
        <f t="shared" ref="H149" si="65">SUM(H135:H148)</f>
        <v>8103.4697844356024</v>
      </c>
      <c r="I149" s="24">
        <f t="shared" ref="I149" si="66">SUM(I135:I148)</f>
        <v>8366.9651589442838</v>
      </c>
      <c r="J149" s="24">
        <f t="shared" ref="J149" si="67">SUM(J135:J148)</f>
        <v>8639.2094863016555</v>
      </c>
      <c r="K149" s="24">
        <f t="shared" ref="K149" si="68">SUM(K135:K148)</f>
        <v>8920.4995675651953</v>
      </c>
      <c r="L149" s="24">
        <f t="shared" ref="L149" si="69">SUM(L135:L148)</f>
        <v>9211.1424924991479</v>
      </c>
      <c r="N149" s="126"/>
      <c r="P149" s="220"/>
    </row>
    <row r="150" spans="2:16" ht="3.75" customHeight="1">
      <c r="B150" s="103"/>
      <c r="C150" s="202"/>
      <c r="D150" s="202"/>
      <c r="E150" s="202"/>
      <c r="F150" s="202"/>
      <c r="G150" s="202"/>
      <c r="H150" s="202"/>
      <c r="I150" s="202"/>
      <c r="J150" s="202"/>
      <c r="K150" s="202"/>
      <c r="L150" s="202"/>
      <c r="N150" s="213"/>
      <c r="P150" s="213"/>
    </row>
    <row r="151" spans="2:16">
      <c r="B151" s="431" t="s">
        <v>73</v>
      </c>
      <c r="C151" s="431"/>
      <c r="D151" s="431"/>
      <c r="E151" s="431"/>
      <c r="F151" s="431"/>
      <c r="G151" s="431"/>
      <c r="H151" s="431"/>
      <c r="I151" s="431"/>
      <c r="J151" s="431"/>
      <c r="K151" s="431"/>
      <c r="L151" s="431"/>
      <c r="N151" s="431"/>
      <c r="P151" s="530">
        <v>0.3</v>
      </c>
    </row>
    <row r="152" spans="2:16" ht="3.75" customHeight="1">
      <c r="B152" s="124"/>
      <c r="C152" s="125"/>
      <c r="D152" s="125"/>
      <c r="E152" s="125"/>
      <c r="F152" s="125"/>
      <c r="G152" s="125"/>
      <c r="H152" s="125"/>
      <c r="I152" s="125"/>
      <c r="J152" s="125"/>
      <c r="K152" s="125"/>
      <c r="L152" s="125"/>
      <c r="N152" s="127"/>
      <c r="P152" s="203"/>
    </row>
    <row r="153" spans="2:16">
      <c r="B153" s="19" t="str">
        <f>$B$9</f>
        <v>Salary &amp; Benefits</v>
      </c>
      <c r="C153" s="20"/>
      <c r="D153" s="20">
        <v>8414.9798002686966</v>
      </c>
      <c r="E153" s="20">
        <f>D153 * $P$151</f>
        <v>2524.4939400806088</v>
      </c>
      <c r="F153" s="20">
        <f>E153*0.12</f>
        <v>302.93927280967307</v>
      </c>
      <c r="G153" s="20"/>
      <c r="H153" s="20"/>
      <c r="I153" s="20"/>
      <c r="J153" s="20"/>
      <c r="K153" s="20"/>
      <c r="L153" s="20"/>
      <c r="N153" s="212"/>
      <c r="P153" s="217"/>
    </row>
    <row r="154" spans="2:16">
      <c r="B154" s="19" t="str">
        <f>$B$10</f>
        <v>Bonus</v>
      </c>
      <c r="C154" s="20"/>
      <c r="D154" s="20">
        <v>2881.2585676666672</v>
      </c>
      <c r="E154" s="20">
        <f t="shared" ref="E154:E162" si="70">D154 * $P$151</f>
        <v>864.37757030000012</v>
      </c>
      <c r="F154" s="20">
        <f t="shared" ref="F154:F165" si="71">E154*0.12</f>
        <v>103.72530843600001</v>
      </c>
      <c r="G154" s="20"/>
      <c r="H154" s="20"/>
      <c r="I154" s="20"/>
      <c r="J154" s="20"/>
      <c r="K154" s="20"/>
      <c r="L154" s="20"/>
      <c r="N154" s="212"/>
      <c r="P154" s="217"/>
    </row>
    <row r="155" spans="2:16">
      <c r="B155" s="19" t="str">
        <f>$B$11</f>
        <v>T&amp;E</v>
      </c>
      <c r="C155" s="20"/>
      <c r="D155" s="20">
        <v>555.83333333333337</v>
      </c>
      <c r="E155" s="20">
        <f t="shared" si="70"/>
        <v>166.75</v>
      </c>
      <c r="F155" s="20">
        <f t="shared" si="71"/>
        <v>20.009999999999998</v>
      </c>
      <c r="G155" s="20"/>
      <c r="H155" s="20"/>
      <c r="I155" s="20"/>
      <c r="J155" s="20"/>
      <c r="K155" s="20"/>
      <c r="L155" s="20"/>
      <c r="N155" s="212"/>
      <c r="P155" s="217"/>
    </row>
    <row r="156" spans="2:16">
      <c r="B156" s="19" t="str">
        <f>$B$12</f>
        <v>Outside Services</v>
      </c>
      <c r="C156" s="20"/>
      <c r="D156" s="20">
        <v>600.74969500000009</v>
      </c>
      <c r="E156" s="20">
        <f t="shared" si="70"/>
        <v>180.22490850000003</v>
      </c>
      <c r="F156" s="20">
        <f t="shared" si="71"/>
        <v>21.626989020000003</v>
      </c>
      <c r="G156" s="20"/>
      <c r="H156" s="20"/>
      <c r="I156" s="20"/>
      <c r="J156" s="20"/>
      <c r="K156" s="20"/>
      <c r="L156" s="20"/>
      <c r="N156" s="212"/>
      <c r="P156" s="217"/>
    </row>
    <row r="157" spans="2:16">
      <c r="B157" s="19" t="str">
        <f>$B$13</f>
        <v>Sales &amp; Marketing</v>
      </c>
      <c r="C157" s="20"/>
      <c r="D157" s="20">
        <v>3000</v>
      </c>
      <c r="E157" s="20">
        <v>300</v>
      </c>
      <c r="F157" s="20">
        <f t="shared" si="71"/>
        <v>36</v>
      </c>
      <c r="G157" s="20"/>
      <c r="H157" s="20"/>
      <c r="I157" s="20"/>
      <c r="J157" s="20"/>
      <c r="K157" s="20"/>
      <c r="L157" s="20"/>
      <c r="N157" s="212"/>
      <c r="P157" s="217"/>
    </row>
    <row r="158" spans="2:16">
      <c r="B158" s="19" t="str">
        <f>$B$14</f>
        <v>Licenses, Fees, and Insurance</v>
      </c>
      <c r="C158" s="20"/>
      <c r="D158" s="20">
        <v>100.00007999999994</v>
      </c>
      <c r="E158" s="20">
        <f t="shared" si="70"/>
        <v>30.000023999999982</v>
      </c>
      <c r="F158" s="20">
        <f t="shared" si="71"/>
        <v>3.6000028799999977</v>
      </c>
      <c r="G158" s="20"/>
      <c r="H158" s="20"/>
      <c r="I158" s="20"/>
      <c r="J158" s="20"/>
      <c r="K158" s="20"/>
      <c r="L158" s="20"/>
      <c r="N158" s="212"/>
      <c r="P158" s="217"/>
    </row>
    <row r="159" spans="2:16">
      <c r="B159" s="19" t="str">
        <f>$B$15</f>
        <v>IT</v>
      </c>
      <c r="C159" s="20"/>
      <c r="D159" s="20">
        <v>78.399935999999997</v>
      </c>
      <c r="E159" s="20">
        <f t="shared" si="70"/>
        <v>23.519980799999999</v>
      </c>
      <c r="F159" s="20">
        <f t="shared" si="71"/>
        <v>2.8223976959999999</v>
      </c>
      <c r="G159" s="20"/>
      <c r="H159" s="20"/>
      <c r="I159" s="20"/>
      <c r="J159" s="20"/>
      <c r="K159" s="20"/>
      <c r="L159" s="20"/>
      <c r="N159" s="212"/>
      <c r="P159" s="217"/>
    </row>
    <row r="160" spans="2:16">
      <c r="B160" s="19" t="str">
        <f>$B$16</f>
        <v>Shipping &amp; Storage</v>
      </c>
      <c r="C160" s="20"/>
      <c r="D160" s="20">
        <v>519.26350500000012</v>
      </c>
      <c r="E160" s="20">
        <f t="shared" si="70"/>
        <v>155.77905150000004</v>
      </c>
      <c r="F160" s="20">
        <f t="shared" si="71"/>
        <v>18.693486180000004</v>
      </c>
      <c r="G160" s="20"/>
      <c r="H160" s="20"/>
      <c r="I160" s="20"/>
      <c r="J160" s="20"/>
      <c r="K160" s="20"/>
      <c r="L160" s="20"/>
      <c r="N160" s="212"/>
      <c r="P160" s="217"/>
    </row>
    <row r="161" spans="1:16">
      <c r="B161" s="19" t="str">
        <f>$B$17</f>
        <v>Office Rent, Utilities, &amp; Equipment</v>
      </c>
      <c r="C161" s="20"/>
      <c r="D161" s="20">
        <v>1541.9959199999998</v>
      </c>
      <c r="E161" s="20">
        <f t="shared" si="70"/>
        <v>462.59877599999993</v>
      </c>
      <c r="F161" s="20">
        <f t="shared" si="71"/>
        <v>55.511853119999991</v>
      </c>
      <c r="G161" s="20"/>
      <c r="H161" s="20"/>
      <c r="I161" s="20"/>
      <c r="J161" s="20"/>
      <c r="K161" s="20"/>
      <c r="L161" s="20"/>
      <c r="N161" s="212"/>
      <c r="P161" s="217"/>
    </row>
    <row r="162" spans="1:16">
      <c r="B162" s="19" t="str">
        <f>$B$18</f>
        <v>Lab Supplies</v>
      </c>
      <c r="C162" s="20"/>
      <c r="D162" s="20">
        <v>250.00001999999995</v>
      </c>
      <c r="E162" s="20">
        <f t="shared" si="70"/>
        <v>75.000005999999985</v>
      </c>
      <c r="F162" s="20">
        <f t="shared" si="71"/>
        <v>9.0000007199999974</v>
      </c>
      <c r="G162" s="20"/>
      <c r="H162" s="20"/>
      <c r="I162" s="20"/>
      <c r="J162" s="20"/>
      <c r="K162" s="20"/>
      <c r="L162" s="20"/>
      <c r="N162" s="212"/>
      <c r="P162" s="217"/>
    </row>
    <row r="163" spans="1:16">
      <c r="B163" s="214" t="str">
        <f>$B$19</f>
        <v>Plants</v>
      </c>
      <c r="C163" s="20"/>
      <c r="D163" s="20"/>
      <c r="E163" s="20"/>
      <c r="F163" s="20">
        <f t="shared" si="71"/>
        <v>0</v>
      </c>
      <c r="G163" s="20"/>
      <c r="H163" s="20"/>
      <c r="I163" s="20"/>
      <c r="J163" s="20"/>
      <c r="K163" s="20"/>
      <c r="L163" s="20"/>
      <c r="N163" s="219"/>
      <c r="P163" s="217"/>
    </row>
    <row r="164" spans="1:16">
      <c r="B164" s="214" t="str">
        <f>$B$20</f>
        <v>Other Expenses</v>
      </c>
      <c r="C164" s="20"/>
      <c r="D164" s="20">
        <v>171.87000000000006</v>
      </c>
      <c r="E164" s="20">
        <f>D164 * $P$151</f>
        <v>51.561000000000014</v>
      </c>
      <c r="F164" s="20">
        <f t="shared" si="71"/>
        <v>6.1873200000000015</v>
      </c>
      <c r="G164" s="20"/>
      <c r="H164" s="20"/>
      <c r="I164" s="20"/>
      <c r="J164" s="20"/>
      <c r="K164" s="20"/>
      <c r="L164" s="20"/>
      <c r="N164" s="219"/>
      <c r="P164" s="217"/>
    </row>
    <row r="165" spans="1:16">
      <c r="B165" s="103" t="str">
        <f>$B$21</f>
        <v>Overhead COGS Alloc</v>
      </c>
      <c r="C165" s="202"/>
      <c r="D165" s="202"/>
      <c r="E165" s="202"/>
      <c r="F165" s="202">
        <f t="shared" si="71"/>
        <v>0</v>
      </c>
      <c r="G165" s="202"/>
      <c r="H165" s="202"/>
      <c r="I165" s="202"/>
      <c r="J165" s="202"/>
      <c r="K165" s="202"/>
      <c r="L165" s="202"/>
      <c r="N165" s="213"/>
      <c r="P165" s="217"/>
    </row>
    <row r="166" spans="1:16">
      <c r="B166" s="103" t="s">
        <v>638</v>
      </c>
      <c r="C166" s="455"/>
      <c r="D166" s="487">
        <f>-D$243 - D$267</f>
        <v>-1648.4070957001957</v>
      </c>
      <c r="E166" s="487">
        <f t="shared" ref="E166" si="72">-E$243 - E$267</f>
        <v>-3612.7810288353025</v>
      </c>
      <c r="F166" s="487"/>
      <c r="G166" s="487"/>
      <c r="H166" s="487"/>
      <c r="I166" s="487"/>
      <c r="J166" s="487"/>
      <c r="K166" s="487"/>
      <c r="L166" s="487"/>
      <c r="N166" s="213"/>
      <c r="P166" s="217"/>
    </row>
    <row r="167" spans="1:16" ht="14.25" thickBot="1">
      <c r="A167" s="279"/>
      <c r="B167" s="23" t="str">
        <f>B95</f>
        <v>Total SGA</v>
      </c>
      <c r="C167" s="24"/>
      <c r="D167" s="24">
        <f>SUM(D153:D166)</f>
        <v>16465.943761568502</v>
      </c>
      <c r="E167" s="24">
        <f t="shared" ref="E167" si="73">SUM(E153:E166)</f>
        <v>1221.5242283453058</v>
      </c>
      <c r="F167" s="24">
        <f t="shared" ref="F167" si="74">SUM(F153:F166)</f>
        <v>580.116630861673</v>
      </c>
      <c r="G167" s="24">
        <f t="shared" ref="G167" si="75">SUM(G153:G166)</f>
        <v>0</v>
      </c>
      <c r="H167" s="24">
        <f t="shared" ref="H167" si="76">SUM(H153:H166)</f>
        <v>0</v>
      </c>
      <c r="I167" s="24">
        <f t="shared" ref="I167" si="77">SUM(I153:I166)</f>
        <v>0</v>
      </c>
      <c r="J167" s="24">
        <f t="shared" ref="J167" si="78">SUM(J153:J166)</f>
        <v>0</v>
      </c>
      <c r="K167" s="24">
        <f t="shared" ref="K167" si="79">SUM(K153:K166)</f>
        <v>0</v>
      </c>
      <c r="L167" s="24">
        <f t="shared" ref="L167" si="80">SUM(L153:L166)</f>
        <v>0</v>
      </c>
      <c r="N167" s="126"/>
      <c r="P167" s="220"/>
    </row>
    <row r="168" spans="1:16" ht="3.75" customHeight="1">
      <c r="B168" s="103"/>
      <c r="C168" s="202"/>
      <c r="D168" s="202"/>
      <c r="E168" s="202"/>
      <c r="F168" s="202"/>
      <c r="G168" s="202"/>
      <c r="H168" s="202"/>
      <c r="I168" s="202"/>
      <c r="J168" s="202"/>
      <c r="K168" s="202"/>
      <c r="L168" s="202"/>
      <c r="N168" s="213"/>
      <c r="P168" s="213"/>
    </row>
    <row r="169" spans="1:16">
      <c r="B169" s="431" t="s">
        <v>74</v>
      </c>
      <c r="C169" s="431"/>
      <c r="D169" s="431"/>
      <c r="E169" s="431"/>
      <c r="F169" s="431"/>
      <c r="G169" s="431"/>
      <c r="H169" s="431"/>
      <c r="I169" s="431"/>
      <c r="J169" s="431"/>
      <c r="K169" s="431"/>
      <c r="L169" s="431"/>
      <c r="N169" s="431"/>
      <c r="P169" s="431"/>
    </row>
    <row r="170" spans="1:16" ht="3.75" customHeight="1">
      <c r="B170" s="124"/>
      <c r="C170" s="128"/>
      <c r="D170" s="128"/>
      <c r="E170" s="128"/>
      <c r="F170" s="128"/>
      <c r="G170" s="128"/>
      <c r="H170" s="128"/>
      <c r="I170" s="128"/>
      <c r="J170" s="128"/>
      <c r="K170" s="128"/>
      <c r="L170" s="128"/>
      <c r="N170" s="221"/>
      <c r="P170" s="213"/>
    </row>
    <row r="171" spans="1:16">
      <c r="B171" s="19" t="str">
        <f>$B$9</f>
        <v>Salary &amp; Benefits</v>
      </c>
      <c r="C171" s="20"/>
      <c r="D171" s="20"/>
      <c r="E171" s="20"/>
      <c r="F171" s="20"/>
      <c r="G171" s="20"/>
      <c r="H171" s="20"/>
      <c r="I171" s="20"/>
      <c r="J171" s="20"/>
      <c r="K171" s="20"/>
      <c r="L171" s="20"/>
      <c r="N171" s="212"/>
      <c r="P171" s="213"/>
    </row>
    <row r="172" spans="1:16">
      <c r="B172" s="19" t="str">
        <f>$B$10</f>
        <v>Bonus</v>
      </c>
      <c r="C172" s="20"/>
      <c r="D172" s="20"/>
      <c r="E172" s="20"/>
      <c r="F172" s="20"/>
      <c r="G172" s="20"/>
      <c r="H172" s="20"/>
      <c r="I172" s="20"/>
      <c r="J172" s="20"/>
      <c r="K172" s="20"/>
      <c r="L172" s="20"/>
      <c r="N172" s="212"/>
      <c r="P172" s="213"/>
    </row>
    <row r="173" spans="1:16">
      <c r="B173" s="19" t="str">
        <f>$B$11</f>
        <v>T&amp;E</v>
      </c>
      <c r="C173" s="20"/>
      <c r="D173" s="20"/>
      <c r="E173" s="20"/>
      <c r="F173" s="20"/>
      <c r="G173" s="20"/>
      <c r="H173" s="20"/>
      <c r="I173" s="20"/>
      <c r="J173" s="20"/>
      <c r="K173" s="20"/>
      <c r="L173" s="20"/>
      <c r="N173" s="212"/>
      <c r="P173" s="213"/>
    </row>
    <row r="174" spans="1:16">
      <c r="B174" s="19" t="str">
        <f>$B$12</f>
        <v>Outside Services</v>
      </c>
      <c r="C174" s="20"/>
      <c r="D174" s="20"/>
      <c r="E174" s="20"/>
      <c r="F174" s="20"/>
      <c r="G174" s="20"/>
      <c r="H174" s="20"/>
      <c r="I174" s="20"/>
      <c r="J174" s="20"/>
      <c r="K174" s="20"/>
      <c r="L174" s="20"/>
      <c r="N174" s="212"/>
      <c r="P174" s="213"/>
    </row>
    <row r="175" spans="1:16">
      <c r="B175" s="19" t="str">
        <f>$B$13</f>
        <v>Sales &amp; Marketing</v>
      </c>
      <c r="C175" s="20"/>
      <c r="D175" s="20"/>
      <c r="E175" s="20"/>
      <c r="F175" s="20"/>
      <c r="G175" s="20"/>
      <c r="H175" s="20"/>
      <c r="I175" s="20"/>
      <c r="J175" s="20"/>
      <c r="K175" s="20"/>
      <c r="L175" s="20"/>
      <c r="N175" s="212"/>
      <c r="P175" s="213"/>
    </row>
    <row r="176" spans="1:16">
      <c r="B176" s="19" t="str">
        <f>$B$14</f>
        <v>Licenses, Fees, and Insurance</v>
      </c>
      <c r="C176" s="20"/>
      <c r="D176" s="20"/>
      <c r="E176" s="20"/>
      <c r="F176" s="20"/>
      <c r="G176" s="20"/>
      <c r="H176" s="20"/>
      <c r="I176" s="20"/>
      <c r="J176" s="20"/>
      <c r="K176" s="20"/>
      <c r="L176" s="20"/>
      <c r="N176" s="212"/>
      <c r="P176" s="213"/>
    </row>
    <row r="177" spans="1:16">
      <c r="B177" s="19" t="str">
        <f>$B$15</f>
        <v>IT</v>
      </c>
      <c r="C177" s="20"/>
      <c r="D177" s="20"/>
      <c r="E177" s="20"/>
      <c r="F177" s="20"/>
      <c r="G177" s="20"/>
      <c r="H177" s="20"/>
      <c r="I177" s="20"/>
      <c r="J177" s="20"/>
      <c r="K177" s="20"/>
      <c r="L177" s="20"/>
      <c r="N177" s="212"/>
      <c r="P177" s="213"/>
    </row>
    <row r="178" spans="1:16">
      <c r="B178" s="19" t="str">
        <f>$B$16</f>
        <v>Shipping &amp; Storage</v>
      </c>
      <c r="C178" s="20"/>
      <c r="D178" s="20"/>
      <c r="E178" s="20"/>
      <c r="F178" s="20"/>
      <c r="G178" s="20"/>
      <c r="H178" s="20"/>
      <c r="I178" s="20"/>
      <c r="J178" s="20"/>
      <c r="K178" s="20"/>
      <c r="L178" s="20"/>
      <c r="N178" s="212"/>
      <c r="P178" s="213"/>
    </row>
    <row r="179" spans="1:16">
      <c r="B179" s="19" t="str">
        <f>$B$17</f>
        <v>Office Rent, Utilities, &amp; Equipment</v>
      </c>
      <c r="C179" s="20"/>
      <c r="D179" s="20"/>
      <c r="E179" s="20"/>
      <c r="F179" s="20"/>
      <c r="G179" s="20"/>
      <c r="H179" s="20"/>
      <c r="I179" s="20"/>
      <c r="J179" s="20"/>
      <c r="K179" s="20"/>
      <c r="L179" s="20"/>
      <c r="N179" s="212"/>
      <c r="P179" s="213"/>
    </row>
    <row r="180" spans="1:16">
      <c r="B180" s="19" t="str">
        <f>$B$18</f>
        <v>Lab Supplies</v>
      </c>
      <c r="C180" s="20"/>
      <c r="D180" s="20"/>
      <c r="E180" s="20"/>
      <c r="F180" s="20"/>
      <c r="G180" s="20"/>
      <c r="H180" s="20"/>
      <c r="I180" s="20"/>
      <c r="J180" s="20"/>
      <c r="K180" s="20"/>
      <c r="L180" s="20"/>
      <c r="N180" s="212"/>
      <c r="P180" s="213"/>
    </row>
    <row r="181" spans="1:16">
      <c r="B181" s="214" t="str">
        <f>$B$19</f>
        <v>Plants</v>
      </c>
      <c r="C181" s="20"/>
      <c r="D181" s="20"/>
      <c r="E181" s="20"/>
      <c r="F181" s="20"/>
      <c r="G181" s="20"/>
      <c r="H181" s="20"/>
      <c r="I181" s="20"/>
      <c r="J181" s="20"/>
      <c r="K181" s="20"/>
      <c r="L181" s="20"/>
      <c r="N181" s="219"/>
      <c r="P181" s="213"/>
    </row>
    <row r="182" spans="1:16">
      <c r="B182" s="214" t="str">
        <f>$B$20</f>
        <v>Other Expenses</v>
      </c>
      <c r="C182" s="20"/>
      <c r="D182" s="20"/>
      <c r="E182" s="20"/>
      <c r="F182" s="20"/>
      <c r="G182" s="20"/>
      <c r="H182" s="20"/>
      <c r="I182" s="20"/>
      <c r="J182" s="20"/>
      <c r="K182" s="20"/>
      <c r="L182" s="20"/>
      <c r="N182" s="219"/>
      <c r="P182" s="213"/>
    </row>
    <row r="183" spans="1:16">
      <c r="B183" s="103" t="str">
        <f>$B$21</f>
        <v>Overhead COGS Alloc</v>
      </c>
      <c r="C183" s="202"/>
      <c r="D183" s="202"/>
      <c r="E183" s="202"/>
      <c r="F183" s="202"/>
      <c r="G183" s="202"/>
      <c r="H183" s="202"/>
      <c r="I183" s="202"/>
      <c r="J183" s="202"/>
      <c r="K183" s="202"/>
      <c r="L183" s="202"/>
      <c r="N183" s="213"/>
      <c r="P183" s="213"/>
    </row>
    <row r="184" spans="1:16">
      <c r="B184" s="103" t="s">
        <v>638</v>
      </c>
      <c r="C184" s="455"/>
      <c r="D184" s="487"/>
      <c r="E184" s="487"/>
      <c r="F184" s="487"/>
      <c r="G184" s="487"/>
      <c r="H184" s="487"/>
      <c r="I184" s="487"/>
      <c r="J184" s="487"/>
      <c r="K184" s="487"/>
      <c r="L184" s="487"/>
      <c r="N184" s="213"/>
      <c r="P184" s="217"/>
    </row>
    <row r="185" spans="1:16" ht="14.25" thickBot="1">
      <c r="A185" s="279"/>
      <c r="B185" s="23" t="str">
        <f t="shared" ref="B185" si="81">B167</f>
        <v>Total SGA</v>
      </c>
      <c r="C185" s="24"/>
      <c r="D185" s="24">
        <f>SUM(D171:D184)</f>
        <v>0</v>
      </c>
      <c r="E185" s="24">
        <f t="shared" ref="E185" si="82">SUM(E171:E184)</f>
        <v>0</v>
      </c>
      <c r="F185" s="24">
        <f t="shared" ref="F185" si="83">SUM(F171:F184)</f>
        <v>0</v>
      </c>
      <c r="G185" s="24">
        <f t="shared" ref="G185" si="84">SUM(G171:G184)</f>
        <v>0</v>
      </c>
      <c r="H185" s="24">
        <f t="shared" ref="H185" si="85">SUM(H171:H184)</f>
        <v>0</v>
      </c>
      <c r="I185" s="24">
        <f t="shared" ref="I185" si="86">SUM(I171:I184)</f>
        <v>0</v>
      </c>
      <c r="J185" s="24">
        <f t="shared" ref="J185" si="87">SUM(J171:J184)</f>
        <v>0</v>
      </c>
      <c r="K185" s="24">
        <f t="shared" ref="K185" si="88">SUM(K171:K184)</f>
        <v>0</v>
      </c>
      <c r="L185" s="24">
        <f t="shared" ref="L185" si="89">SUM(L171:L184)</f>
        <v>0</v>
      </c>
      <c r="N185" s="126"/>
      <c r="P185" s="220"/>
    </row>
    <row r="186" spans="1:16" ht="3.75" customHeight="1">
      <c r="C186" s="129"/>
      <c r="D186" s="129"/>
      <c r="E186" s="129"/>
      <c r="F186" s="129"/>
      <c r="G186" s="129"/>
      <c r="H186" s="129"/>
      <c r="I186" s="129"/>
      <c r="J186" s="129"/>
      <c r="K186" s="129"/>
      <c r="L186" s="129"/>
      <c r="N186" s="215"/>
      <c r="P186" s="215"/>
    </row>
    <row r="187" spans="1:16">
      <c r="B187" s="431" t="s">
        <v>437</v>
      </c>
      <c r="C187" s="431"/>
      <c r="D187" s="431"/>
      <c r="E187" s="431"/>
      <c r="F187" s="431"/>
      <c r="G187" s="431"/>
      <c r="H187" s="431"/>
      <c r="I187" s="431"/>
      <c r="J187" s="431"/>
      <c r="K187" s="431"/>
      <c r="L187" s="431"/>
      <c r="N187" s="431"/>
      <c r="P187" s="431"/>
    </row>
    <row r="188" spans="1:16" ht="3.75" customHeight="1">
      <c r="B188" s="124"/>
      <c r="C188" s="128"/>
      <c r="D188" s="128"/>
      <c r="E188" s="128"/>
      <c r="F188" s="128"/>
      <c r="G188" s="128"/>
      <c r="H188" s="128"/>
      <c r="I188" s="128"/>
      <c r="J188" s="128"/>
      <c r="K188" s="128"/>
      <c r="L188" s="128"/>
      <c r="N188" s="221"/>
      <c r="P188" s="213"/>
    </row>
    <row r="189" spans="1:16">
      <c r="B189" s="19" t="str">
        <f>$B$9</f>
        <v>Salary &amp; Benefits</v>
      </c>
      <c r="C189" s="20"/>
      <c r="D189" s="20"/>
      <c r="E189" s="20"/>
      <c r="F189" s="20"/>
      <c r="G189" s="20"/>
      <c r="H189" s="20"/>
      <c r="I189" s="20"/>
      <c r="J189" s="20"/>
      <c r="K189" s="20"/>
      <c r="L189" s="20"/>
      <c r="N189" s="212"/>
      <c r="P189" s="213"/>
    </row>
    <row r="190" spans="1:16">
      <c r="B190" s="19" t="str">
        <f>$B$10</f>
        <v>Bonus</v>
      </c>
      <c r="C190" s="20"/>
      <c r="D190" s="20"/>
      <c r="E190" s="20"/>
      <c r="F190" s="20"/>
      <c r="G190" s="20"/>
      <c r="H190" s="20"/>
      <c r="I190" s="20"/>
      <c r="J190" s="20"/>
      <c r="K190" s="20"/>
      <c r="L190" s="20"/>
      <c r="N190" s="212"/>
      <c r="P190" s="213"/>
    </row>
    <row r="191" spans="1:16">
      <c r="B191" s="19" t="str">
        <f>$B$11</f>
        <v>T&amp;E</v>
      </c>
      <c r="C191" s="20"/>
      <c r="D191" s="20"/>
      <c r="E191" s="20"/>
      <c r="F191" s="20"/>
      <c r="G191" s="20"/>
      <c r="H191" s="20"/>
      <c r="I191" s="20"/>
      <c r="J191" s="20"/>
      <c r="K191" s="20"/>
      <c r="L191" s="20"/>
      <c r="N191" s="212"/>
      <c r="P191" s="213"/>
    </row>
    <row r="192" spans="1:16">
      <c r="B192" s="19" t="str">
        <f>$B$12</f>
        <v>Outside Services</v>
      </c>
      <c r="C192" s="20"/>
      <c r="D192" s="20"/>
      <c r="E192" s="20"/>
      <c r="F192" s="20"/>
      <c r="G192" s="20"/>
      <c r="H192" s="20"/>
      <c r="I192" s="20"/>
      <c r="J192" s="20"/>
      <c r="K192" s="20"/>
      <c r="L192" s="20"/>
      <c r="N192" s="212"/>
      <c r="P192" s="213"/>
    </row>
    <row r="193" spans="1:16">
      <c r="B193" s="19" t="str">
        <f>$B$13</f>
        <v>Sales &amp; Marketing</v>
      </c>
      <c r="C193" s="20"/>
      <c r="D193" s="20"/>
      <c r="E193" s="20"/>
      <c r="F193" s="20"/>
      <c r="G193" s="20"/>
      <c r="H193" s="20"/>
      <c r="I193" s="20"/>
      <c r="J193" s="20"/>
      <c r="K193" s="20"/>
      <c r="L193" s="20"/>
      <c r="N193" s="212"/>
      <c r="P193" s="213"/>
    </row>
    <row r="194" spans="1:16">
      <c r="B194" s="19" t="str">
        <f>$B$14</f>
        <v>Licenses, Fees, and Insurance</v>
      </c>
      <c r="C194" s="20"/>
      <c r="D194" s="20"/>
      <c r="E194" s="20"/>
      <c r="F194" s="20"/>
      <c r="G194" s="20"/>
      <c r="H194" s="20"/>
      <c r="I194" s="20"/>
      <c r="J194" s="20"/>
      <c r="K194" s="20"/>
      <c r="L194" s="20"/>
      <c r="N194" s="212"/>
      <c r="P194" s="213"/>
    </row>
    <row r="195" spans="1:16">
      <c r="B195" s="19" t="str">
        <f>$B$15</f>
        <v>IT</v>
      </c>
      <c r="C195" s="20"/>
      <c r="D195" s="20"/>
      <c r="E195" s="20"/>
      <c r="F195" s="20"/>
      <c r="G195" s="20"/>
      <c r="H195" s="20"/>
      <c r="I195" s="20"/>
      <c r="J195" s="20"/>
      <c r="K195" s="20"/>
      <c r="L195" s="20"/>
      <c r="N195" s="212"/>
      <c r="P195" s="213"/>
    </row>
    <row r="196" spans="1:16">
      <c r="B196" s="19" t="str">
        <f>$B$16</f>
        <v>Shipping &amp; Storage</v>
      </c>
      <c r="C196" s="20"/>
      <c r="D196" s="20"/>
      <c r="E196" s="20"/>
      <c r="F196" s="20"/>
      <c r="G196" s="20"/>
      <c r="H196" s="20"/>
      <c r="I196" s="20"/>
      <c r="J196" s="20"/>
      <c r="K196" s="20"/>
      <c r="L196" s="20"/>
      <c r="N196" s="212"/>
      <c r="P196" s="213"/>
    </row>
    <row r="197" spans="1:16">
      <c r="B197" s="19" t="str">
        <f>$B$17</f>
        <v>Office Rent, Utilities, &amp; Equipment</v>
      </c>
      <c r="C197" s="20"/>
      <c r="D197" s="20"/>
      <c r="E197" s="20"/>
      <c r="F197" s="20"/>
      <c r="G197" s="20"/>
      <c r="H197" s="20"/>
      <c r="I197" s="20"/>
      <c r="J197" s="20"/>
      <c r="K197" s="20"/>
      <c r="L197" s="20"/>
      <c r="N197" s="212"/>
      <c r="P197" s="213"/>
    </row>
    <row r="198" spans="1:16">
      <c r="B198" s="19" t="str">
        <f>$B$18</f>
        <v>Lab Supplies</v>
      </c>
      <c r="C198" s="20"/>
      <c r="D198" s="20"/>
      <c r="E198" s="20"/>
      <c r="F198" s="20"/>
      <c r="G198" s="20"/>
      <c r="H198" s="20"/>
      <c r="I198" s="20"/>
      <c r="J198" s="20"/>
      <c r="K198" s="20"/>
      <c r="L198" s="20"/>
      <c r="N198" s="212"/>
      <c r="P198" s="213"/>
    </row>
    <row r="199" spans="1:16">
      <c r="B199" s="214" t="str">
        <f>$B$19</f>
        <v>Plants</v>
      </c>
      <c r="C199" s="20"/>
      <c r="D199" s="20"/>
      <c r="E199" s="20"/>
      <c r="F199" s="20"/>
      <c r="G199" s="20"/>
      <c r="H199" s="20"/>
      <c r="I199" s="20"/>
      <c r="J199" s="20"/>
      <c r="K199" s="20"/>
      <c r="L199" s="20"/>
      <c r="N199" s="219"/>
      <c r="P199" s="213"/>
    </row>
    <row r="200" spans="1:16">
      <c r="B200" s="214" t="str">
        <f>$B$20</f>
        <v>Other Expenses</v>
      </c>
      <c r="C200" s="20"/>
      <c r="D200" s="20"/>
      <c r="E200" s="20"/>
      <c r="F200" s="20"/>
      <c r="G200" s="20"/>
      <c r="H200" s="20"/>
      <c r="I200" s="20"/>
      <c r="J200" s="20"/>
      <c r="K200" s="20"/>
      <c r="L200" s="20"/>
      <c r="N200" s="219"/>
      <c r="P200" s="213"/>
    </row>
    <row r="201" spans="1:16">
      <c r="B201" s="103" t="str">
        <f>$B$21</f>
        <v>Overhead COGS Alloc</v>
      </c>
      <c r="C201" s="202"/>
      <c r="D201" s="202"/>
      <c r="E201" s="202"/>
      <c r="F201" s="202"/>
      <c r="G201" s="202"/>
      <c r="H201" s="202"/>
      <c r="I201" s="202"/>
      <c r="J201" s="202"/>
      <c r="K201" s="202"/>
      <c r="L201" s="202"/>
      <c r="N201" s="213"/>
      <c r="P201" s="213"/>
    </row>
    <row r="202" spans="1:16">
      <c r="B202" s="103" t="s">
        <v>638</v>
      </c>
      <c r="C202" s="455"/>
      <c r="D202" s="487"/>
      <c r="E202" s="487"/>
      <c r="F202" s="487"/>
      <c r="G202" s="487"/>
      <c r="H202" s="487"/>
      <c r="I202" s="487"/>
      <c r="J202" s="487"/>
      <c r="K202" s="487"/>
      <c r="L202" s="487"/>
      <c r="N202" s="213"/>
      <c r="P202" s="217"/>
    </row>
    <row r="203" spans="1:16" ht="14.25" thickBot="1">
      <c r="A203" s="279"/>
      <c r="B203" s="23" t="str">
        <f t="shared" ref="B203" si="90">B185</f>
        <v>Total SGA</v>
      </c>
      <c r="C203" s="24"/>
      <c r="D203" s="24">
        <f>SUM(D189:D202)</f>
        <v>0</v>
      </c>
      <c r="E203" s="24">
        <f t="shared" ref="E203" si="91">SUM(E189:E202)</f>
        <v>0</v>
      </c>
      <c r="F203" s="24">
        <f t="shared" ref="F203" si="92">SUM(F189:F202)</f>
        <v>0</v>
      </c>
      <c r="G203" s="24">
        <f t="shared" ref="G203" si="93">SUM(G189:G202)</f>
        <v>0</v>
      </c>
      <c r="H203" s="24">
        <f t="shared" ref="H203" si="94">SUM(H189:H202)</f>
        <v>0</v>
      </c>
      <c r="I203" s="24">
        <f t="shared" ref="I203" si="95">SUM(I189:I202)</f>
        <v>0</v>
      </c>
      <c r="J203" s="24">
        <f t="shared" ref="J203" si="96">SUM(J189:J202)</f>
        <v>0</v>
      </c>
      <c r="K203" s="24">
        <f t="shared" ref="K203" si="97">SUM(K189:K202)</f>
        <v>0</v>
      </c>
      <c r="L203" s="24">
        <f t="shared" ref="L203" si="98">SUM(L189:L202)</f>
        <v>0</v>
      </c>
      <c r="N203" s="126"/>
      <c r="P203" s="220"/>
    </row>
    <row r="204" spans="1:16" ht="3.75" customHeight="1">
      <c r="C204" s="129"/>
      <c r="D204" s="129"/>
      <c r="E204" s="129"/>
      <c r="F204" s="129"/>
      <c r="G204" s="129"/>
      <c r="H204" s="129"/>
      <c r="I204" s="129"/>
      <c r="J204" s="129"/>
      <c r="K204" s="129"/>
      <c r="L204" s="129"/>
      <c r="N204" s="215"/>
      <c r="P204" s="215"/>
    </row>
    <row r="205" spans="1:16">
      <c r="B205" s="464" t="s">
        <v>618</v>
      </c>
      <c r="C205" s="465"/>
      <c r="D205" s="465"/>
      <c r="E205" s="465"/>
      <c r="F205" s="465"/>
      <c r="G205" s="465"/>
      <c r="H205" s="465"/>
      <c r="I205" s="465"/>
      <c r="J205" s="465"/>
      <c r="K205" s="465"/>
      <c r="L205" s="465"/>
      <c r="N205" s="465"/>
      <c r="P205" s="465"/>
    </row>
    <row r="206" spans="1:16" ht="3.75" customHeight="1">
      <c r="C206" s="129"/>
      <c r="D206" s="129"/>
      <c r="E206" s="129"/>
      <c r="F206" s="129"/>
      <c r="G206" s="129"/>
      <c r="H206" s="129"/>
      <c r="I206" s="129"/>
      <c r="J206" s="129"/>
      <c r="K206" s="129"/>
      <c r="L206" s="129"/>
      <c r="N206" s="215"/>
      <c r="P206" s="215"/>
    </row>
    <row r="207" spans="1:16">
      <c r="B207" s="431" t="s">
        <v>63</v>
      </c>
      <c r="C207" s="431"/>
      <c r="D207" s="431"/>
      <c r="E207" s="431"/>
      <c r="F207" s="431"/>
      <c r="G207" s="431"/>
      <c r="H207" s="431"/>
      <c r="I207" s="431"/>
      <c r="J207" s="431"/>
      <c r="K207" s="431"/>
      <c r="L207" s="431"/>
      <c r="N207" s="431"/>
      <c r="P207" s="431"/>
    </row>
    <row r="208" spans="1:16" ht="3.75" customHeight="1">
      <c r="B208" s="124"/>
      <c r="C208" s="128"/>
      <c r="D208" s="128"/>
      <c r="E208" s="128"/>
      <c r="F208" s="128"/>
      <c r="G208" s="128"/>
      <c r="H208" s="128"/>
      <c r="I208" s="128"/>
      <c r="J208" s="128"/>
      <c r="K208" s="128"/>
      <c r="L208" s="128"/>
      <c r="N208" s="221"/>
      <c r="P208" s="213"/>
    </row>
    <row r="209" spans="2:16">
      <c r="B209" s="19" t="str">
        <f>$B$9</f>
        <v>Salary &amp; Benefits</v>
      </c>
      <c r="C209" s="20"/>
      <c r="D209" s="20">
        <f t="shared" ref="D209:L209" si="99">D9+D27+D45+D63+D81+D99+D117+D135+D153+D171+D189</f>
        <v>43002.673389742697</v>
      </c>
      <c r="E209" s="20">
        <f t="shared" si="99"/>
        <v>30732.331468280609</v>
      </c>
      <c r="F209" s="20">
        <f t="shared" si="99"/>
        <v>30641.395742137673</v>
      </c>
      <c r="G209" s="20">
        <f t="shared" si="99"/>
        <v>33965.567821221121</v>
      </c>
      <c r="H209" s="20">
        <f t="shared" si="99"/>
        <v>37083.567471797964</v>
      </c>
      <c r="I209" s="20">
        <f t="shared" si="99"/>
        <v>38278.752856356878</v>
      </c>
      <c r="J209" s="20">
        <f t="shared" si="99"/>
        <v>41962.212673343303</v>
      </c>
      <c r="K209" s="20">
        <f t="shared" si="99"/>
        <v>43588.201180277021</v>
      </c>
      <c r="L209" s="20">
        <f t="shared" si="99"/>
        <v>45113.1494465797</v>
      </c>
      <c r="N209" s="212"/>
      <c r="P209" s="217"/>
    </row>
    <row r="210" spans="2:16">
      <c r="B210" s="19" t="str">
        <f>$B$10</f>
        <v>Bonus</v>
      </c>
      <c r="C210" s="20"/>
      <c r="D210" s="20">
        <f t="shared" ref="D210:L210" si="100">D10+D28+D46+D64+D82+D100+D118+D136+D154+D172+D190</f>
        <v>7583.1041027346655</v>
      </c>
      <c r="E210" s="20">
        <f t="shared" si="100"/>
        <v>4885.1897026999995</v>
      </c>
      <c r="F210" s="20">
        <f t="shared" si="100"/>
        <v>4439.2216061320005</v>
      </c>
      <c r="G210" s="20">
        <f t="shared" si="100"/>
        <v>4934.3502014438391</v>
      </c>
      <c r="H210" s="20">
        <f t="shared" si="100"/>
        <v>5454.8563799975955</v>
      </c>
      <c r="I210" s="20">
        <f t="shared" si="100"/>
        <v>5888.9114551757402</v>
      </c>
      <c r="J210" s="20">
        <f t="shared" si="100"/>
        <v>6243.4344962138721</v>
      </c>
      <c r="K210" s="20">
        <f t="shared" si="100"/>
        <v>6486.871876062427</v>
      </c>
      <c r="L210" s="20">
        <f t="shared" si="100"/>
        <v>6709.8504273033941</v>
      </c>
      <c r="N210" s="212"/>
      <c r="P210" s="217"/>
    </row>
    <row r="211" spans="2:16">
      <c r="B211" s="19" t="str">
        <f>$B$11</f>
        <v>T&amp;E</v>
      </c>
      <c r="C211" s="20"/>
      <c r="D211" s="20">
        <f t="shared" ref="D211:L211" si="101">D11+D29+D47+D65+D83+D101+D119+D137+D155+D173+D191</f>
        <v>3142.9953333333337</v>
      </c>
      <c r="E211" s="20">
        <f t="shared" si="101"/>
        <v>2992.3205714285714</v>
      </c>
      <c r="F211" s="20">
        <f t="shared" si="101"/>
        <v>2912.7387428571428</v>
      </c>
      <c r="G211" s="20">
        <f t="shared" si="101"/>
        <v>2949.3776777142857</v>
      </c>
      <c r="H211" s="20">
        <f t="shared" si="101"/>
        <v>2987.3919912685715</v>
      </c>
      <c r="I211" s="20">
        <f t="shared" si="101"/>
        <v>3026.1665910939423</v>
      </c>
      <c r="J211" s="20">
        <f t="shared" si="101"/>
        <v>3065.7166829158214</v>
      </c>
      <c r="K211" s="20">
        <f t="shared" si="101"/>
        <v>3106.0577765741382</v>
      </c>
      <c r="L211" s="20">
        <f t="shared" si="101"/>
        <v>3147.2056921056214</v>
      </c>
      <c r="N211" s="212"/>
      <c r="P211" s="217"/>
    </row>
    <row r="212" spans="2:16">
      <c r="B212" s="19" t="str">
        <f>$B$12</f>
        <v>Outside Services</v>
      </c>
      <c r="C212" s="20"/>
      <c r="D212" s="20">
        <f t="shared" ref="D212:L212" si="102">D12+D30+D48+D66+D84+D102+D120+D138+D156+D174+D192</f>
        <v>17655.659684999999</v>
      </c>
      <c r="E212" s="20">
        <f t="shared" si="102"/>
        <v>18095.834448450001</v>
      </c>
      <c r="F212" s="20">
        <f t="shared" si="102"/>
        <v>18373.25232666975</v>
      </c>
      <c r="G212" s="20">
        <f t="shared" si="102"/>
        <v>18800.214346838002</v>
      </c>
      <c r="H212" s="20">
        <f t="shared" si="102"/>
        <v>19261.751227547189</v>
      </c>
      <c r="I212" s="20">
        <f t="shared" si="102"/>
        <v>19736.621866929177</v>
      </c>
      <c r="J212" s="20">
        <f t="shared" si="102"/>
        <v>20225.223716005399</v>
      </c>
      <c r="K212" s="20">
        <f t="shared" si="102"/>
        <v>20727.966136519251</v>
      </c>
      <c r="L212" s="20">
        <f t="shared" si="102"/>
        <v>21245.270758193685</v>
      </c>
      <c r="N212" s="212"/>
      <c r="P212" s="217"/>
    </row>
    <row r="213" spans="2:16">
      <c r="B213" s="19" t="str">
        <f>$B$13</f>
        <v>Sales &amp; Marketing</v>
      </c>
      <c r="C213" s="20"/>
      <c r="D213" s="20">
        <f t="shared" ref="D213:L213" si="103">D13+D31+D49+D67+D85+D103+D121+D139+D157+D175+D193</f>
        <v>5340.0999999999995</v>
      </c>
      <c r="E213" s="20">
        <f t="shared" si="103"/>
        <v>2657.5004999999992</v>
      </c>
      <c r="F213" s="20">
        <f t="shared" si="103"/>
        <v>2411.1170024999992</v>
      </c>
      <c r="G213" s="20">
        <f t="shared" si="103"/>
        <v>2392.953617512499</v>
      </c>
      <c r="H213" s="20">
        <f t="shared" si="103"/>
        <v>2411.0145497000613</v>
      </c>
      <c r="I213" s="20">
        <f t="shared" si="103"/>
        <v>2429.3041007355614</v>
      </c>
      <c r="J213" s="20">
        <f t="shared" si="103"/>
        <v>2447.8266717241286</v>
      </c>
      <c r="K213" s="20">
        <f t="shared" si="103"/>
        <v>2466.5867656884511</v>
      </c>
      <c r="L213" s="20">
        <f t="shared" si="103"/>
        <v>2485.5889901191572</v>
      </c>
      <c r="N213" s="212"/>
      <c r="P213" s="217"/>
    </row>
    <row r="214" spans="2:16">
      <c r="B214" s="19" t="str">
        <f>$B$14</f>
        <v>Licenses, Fees, and Insurance</v>
      </c>
      <c r="C214" s="20"/>
      <c r="D214" s="20">
        <f t="shared" ref="D214:L214" si="104">D14+D32+D50+D68+D86+D104+D122+D140+D158+D176+D194</f>
        <v>761.02007999999989</v>
      </c>
      <c r="E214" s="20">
        <f t="shared" si="104"/>
        <v>710.22562399999993</v>
      </c>
      <c r="F214" s="20">
        <f t="shared" si="104"/>
        <v>703.60424588000012</v>
      </c>
      <c r="G214" s="20">
        <f t="shared" si="104"/>
        <v>720.37310466499991</v>
      </c>
      <c r="H214" s="20">
        <f t="shared" si="104"/>
        <v>741.349875851825</v>
      </c>
      <c r="I214" s="20">
        <f t="shared" si="104"/>
        <v>762.95277806448928</v>
      </c>
      <c r="J214" s="20">
        <f t="shared" si="104"/>
        <v>785.20057937321872</v>
      </c>
      <c r="K214" s="20">
        <f t="shared" si="104"/>
        <v>808.11261081104408</v>
      </c>
      <c r="L214" s="20">
        <f t="shared" si="104"/>
        <v>831.70878326228751</v>
      </c>
      <c r="N214" s="212"/>
      <c r="P214" s="217"/>
    </row>
    <row r="215" spans="2:16">
      <c r="B215" s="19" t="str">
        <f>$B$15</f>
        <v>IT</v>
      </c>
      <c r="C215" s="20"/>
      <c r="D215" s="20">
        <f t="shared" ref="D215:L215" si="105">D15+D33+D51+D69+D87+D105+D123+D141+D159+D177+D195</f>
        <v>4028.7538159999995</v>
      </c>
      <c r="E215" s="20">
        <f t="shared" si="105"/>
        <v>4086.1206301999996</v>
      </c>
      <c r="F215" s="20">
        <f t="shared" si="105"/>
        <v>4181.0059003429997</v>
      </c>
      <c r="G215" s="20">
        <f t="shared" si="105"/>
        <v>4297.202365660235</v>
      </c>
      <c r="H215" s="20">
        <f t="shared" si="105"/>
        <v>4419.7601613535371</v>
      </c>
      <c r="I215" s="20">
        <f t="shared" si="105"/>
        <v>4545.962899541254</v>
      </c>
      <c r="J215" s="20">
        <f t="shared" si="105"/>
        <v>4675.9197695413395</v>
      </c>
      <c r="K215" s="20">
        <f t="shared" si="105"/>
        <v>4809.7432355564952</v>
      </c>
      <c r="L215" s="20">
        <f t="shared" si="105"/>
        <v>4947.5491349167523</v>
      </c>
      <c r="N215" s="212"/>
      <c r="P215" s="217"/>
    </row>
    <row r="216" spans="2:16">
      <c r="B216" s="19" t="str">
        <f>$B$16</f>
        <v>Shipping &amp; Storage</v>
      </c>
      <c r="C216" s="20"/>
      <c r="D216" s="20">
        <f t="shared" ref="D216:L216" si="106">D16+D34+D52+D70+D88+D106+D124+D142+D160+D178+D196</f>
        <v>2004.3774144294136</v>
      </c>
      <c r="E216" s="20">
        <f t="shared" si="106"/>
        <v>1666.6360304765603</v>
      </c>
      <c r="F216" s="20">
        <f t="shared" si="106"/>
        <v>1555.9764250514431</v>
      </c>
      <c r="G216" s="20">
        <f t="shared" si="106"/>
        <v>1564.4118288158002</v>
      </c>
      <c r="H216" s="20">
        <f t="shared" si="106"/>
        <v>1592.2642874673793</v>
      </c>
      <c r="I216" s="20">
        <f t="shared" si="106"/>
        <v>1620.861570397441</v>
      </c>
      <c r="J216" s="20">
        <f t="shared" si="106"/>
        <v>1650.225568586935</v>
      </c>
      <c r="K216" s="20">
        <f t="shared" si="106"/>
        <v>1680.3788274775015</v>
      </c>
      <c r="L216" s="20">
        <f t="shared" si="106"/>
        <v>1711.3445665939498</v>
      </c>
      <c r="N216" s="212"/>
      <c r="P216" s="217"/>
    </row>
    <row r="217" spans="2:16">
      <c r="B217" s="19" t="str">
        <f>$B$17</f>
        <v>Office Rent, Utilities, &amp; Equipment</v>
      </c>
      <c r="C217" s="20"/>
      <c r="D217" s="20">
        <f t="shared" ref="D217:L217" si="107">D17+D35+D53+D71+D89+D107+D125+D143+D161+D179+D197</f>
        <v>13712.095919999998</v>
      </c>
      <c r="E217" s="20">
        <f t="shared" si="107"/>
        <v>12900.799776</v>
      </c>
      <c r="F217" s="20">
        <f t="shared" si="107"/>
        <v>12769.481448120001</v>
      </c>
      <c r="G217" s="20">
        <f t="shared" si="107"/>
        <v>12997.630181324999</v>
      </c>
      <c r="H217" s="20">
        <f t="shared" si="107"/>
        <v>13289.413802716874</v>
      </c>
      <c r="I217" s="20">
        <f t="shared" si="107"/>
        <v>13589.558348489787</v>
      </c>
      <c r="J217" s="20">
        <f t="shared" si="107"/>
        <v>13898.308757611259</v>
      </c>
      <c r="K217" s="20">
        <f t="shared" si="107"/>
        <v>14215.917228886377</v>
      </c>
      <c r="L217" s="20">
        <f t="shared" si="107"/>
        <v>14542.643437427949</v>
      </c>
      <c r="N217" s="212"/>
      <c r="P217" s="217"/>
    </row>
    <row r="218" spans="2:16">
      <c r="B218" s="19" t="str">
        <f>$B$18</f>
        <v>Lab Supplies</v>
      </c>
      <c r="C218" s="20"/>
      <c r="D218" s="20">
        <f t="shared" ref="D218:L218" si="108">D18+D36+D54+D72+D90+D108+D126+D144+D162+D180+D198</f>
        <v>2984.0000199999999</v>
      </c>
      <c r="E218" s="20">
        <f t="shared" si="108"/>
        <v>2886.3200059999999</v>
      </c>
      <c r="F218" s="20">
        <f t="shared" si="108"/>
        <v>2899.93610072</v>
      </c>
      <c r="G218" s="20">
        <f t="shared" si="108"/>
        <v>2972.9170654999998</v>
      </c>
      <c r="H218" s="20">
        <f t="shared" si="108"/>
        <v>3057.3337243775004</v>
      </c>
      <c r="I218" s="20">
        <f t="shared" si="108"/>
        <v>3144.2590287558878</v>
      </c>
      <c r="J218" s="20">
        <f t="shared" si="108"/>
        <v>3233.7681187288622</v>
      </c>
      <c r="K218" s="20">
        <f t="shared" si="108"/>
        <v>3325.9383879965776</v>
      </c>
      <c r="L218" s="20">
        <f t="shared" si="108"/>
        <v>3420.8495514708538</v>
      </c>
      <c r="N218" s="212"/>
      <c r="P218" s="217"/>
    </row>
    <row r="219" spans="2:16">
      <c r="B219" s="214" t="str">
        <f>$B$19</f>
        <v>Plants</v>
      </c>
      <c r="C219" s="202"/>
      <c r="D219" s="20">
        <f t="shared" ref="D219:L219" si="109">D19+D37+D55+D73+D91+D109+D127+D145+D163+D181+D199</f>
        <v>0</v>
      </c>
      <c r="E219" s="20">
        <f t="shared" si="109"/>
        <v>0</v>
      </c>
      <c r="F219" s="20">
        <f t="shared" si="109"/>
        <v>2803.7253641025641</v>
      </c>
      <c r="G219" s="20">
        <f t="shared" si="109"/>
        <v>2860.027125025641</v>
      </c>
      <c r="H219" s="20">
        <f t="shared" si="109"/>
        <v>5203.2568397576042</v>
      </c>
      <c r="I219" s="20">
        <f t="shared" si="109"/>
        <v>4971.1533332371782</v>
      </c>
      <c r="J219" s="20">
        <f t="shared" si="109"/>
        <v>4771.3501839106848</v>
      </c>
      <c r="K219" s="20">
        <f t="shared" si="109"/>
        <v>4612.6119278421675</v>
      </c>
      <c r="L219" s="20">
        <f t="shared" si="109"/>
        <v>4818.8112202201364</v>
      </c>
      <c r="N219" s="212"/>
      <c r="P219" s="217"/>
    </row>
    <row r="220" spans="2:16">
      <c r="B220" s="214" t="str">
        <f>$B$20</f>
        <v>Other Expenses</v>
      </c>
      <c r="C220" s="202"/>
      <c r="D220" s="20">
        <f t="shared" ref="D220:L220" si="110">D20+D38+D56+D74+D92+D110+D128+D146+D164+D182+D200</f>
        <v>4859.6449999999995</v>
      </c>
      <c r="E220" s="20">
        <f t="shared" si="110"/>
        <v>4890.6859999999988</v>
      </c>
      <c r="F220" s="20">
        <f t="shared" si="110"/>
        <v>5001.2028199999995</v>
      </c>
      <c r="G220" s="20">
        <f t="shared" si="110"/>
        <v>6355.5827150000005</v>
      </c>
      <c r="H220" s="20">
        <f t="shared" si="110"/>
        <v>6556.9669464500003</v>
      </c>
      <c r="I220" s="20">
        <f t="shared" si="110"/>
        <v>6764.3927048435007</v>
      </c>
      <c r="J220" s="20">
        <f t="shared" si="110"/>
        <v>6978.041235988806</v>
      </c>
      <c r="K220" s="20">
        <f t="shared" si="110"/>
        <v>7198.0992230684697</v>
      </c>
      <c r="L220" s="20">
        <f t="shared" si="110"/>
        <v>7424.7589497605231</v>
      </c>
      <c r="N220" s="212"/>
      <c r="P220" s="217"/>
    </row>
    <row r="221" spans="2:16">
      <c r="B221" s="214" t="s">
        <v>616</v>
      </c>
      <c r="C221" s="202"/>
      <c r="D221" s="20">
        <f t="shared" ref="D221:L221" si="111">D21+D39+D57+D75+D93+D111+D129+D147+D165+D183+D201</f>
        <v>-5653.2980744029155</v>
      </c>
      <c r="E221" s="20">
        <f t="shared" si="111"/>
        <v>-5438.6278058652897</v>
      </c>
      <c r="F221" s="20">
        <f t="shared" si="111"/>
        <v>-7658.9377000942877</v>
      </c>
      <c r="G221" s="20">
        <f t="shared" si="111"/>
        <v>-14816.98270062239</v>
      </c>
      <c r="H221" s="20">
        <f t="shared" si="111"/>
        <v>-15425.060983985579</v>
      </c>
      <c r="I221" s="20">
        <f t="shared" si="111"/>
        <v>-16051.772573803999</v>
      </c>
      <c r="J221" s="20">
        <f t="shared" si="111"/>
        <v>-16498.860031662491</v>
      </c>
      <c r="K221" s="20">
        <f t="shared" si="111"/>
        <v>-16948.387242120472</v>
      </c>
      <c r="L221" s="20">
        <f t="shared" si="111"/>
        <v>-17723.14610472096</v>
      </c>
      <c r="N221" s="212"/>
      <c r="P221" s="217"/>
    </row>
    <row r="222" spans="2:16">
      <c r="B222" s="103" t="s">
        <v>638</v>
      </c>
      <c r="C222" s="455"/>
      <c r="D222" s="487">
        <f t="shared" ref="D222:L222" si="112">D22+D40+D58+D76+D94+D112+D130+D148+D166+D184+D202</f>
        <v>-7000</v>
      </c>
      <c r="E222" s="487">
        <f t="shared" si="112"/>
        <v>-21000.000000000004</v>
      </c>
      <c r="F222" s="487">
        <f t="shared" si="112"/>
        <v>-15410.846854858188</v>
      </c>
      <c r="G222" s="487">
        <f t="shared" si="112"/>
        <v>-11000</v>
      </c>
      <c r="H222" s="487">
        <f t="shared" si="112"/>
        <v>0</v>
      </c>
      <c r="I222" s="487">
        <f t="shared" si="112"/>
        <v>0</v>
      </c>
      <c r="J222" s="487">
        <f t="shared" si="112"/>
        <v>0</v>
      </c>
      <c r="K222" s="487">
        <f t="shared" si="112"/>
        <v>0</v>
      </c>
      <c r="L222" s="487">
        <f t="shared" si="112"/>
        <v>0</v>
      </c>
      <c r="N222" s="213"/>
      <c r="P222" s="217"/>
    </row>
    <row r="223" spans="2:16" ht="14.25" thickBot="1">
      <c r="B223" s="23" t="str">
        <f>$B$149</f>
        <v>Total SGA</v>
      </c>
      <c r="C223" s="24"/>
      <c r="D223" s="24">
        <f>SUM(D209:D222)</f>
        <v>92421.126686837204</v>
      </c>
      <c r="E223" s="24">
        <f t="shared" ref="E223:L223" si="113">SUM(E209:E222)</f>
        <v>60065.336951670441</v>
      </c>
      <c r="F223" s="24">
        <f t="shared" si="113"/>
        <v>65622.873169561106</v>
      </c>
      <c r="G223" s="24">
        <f t="shared" si="113"/>
        <v>68993.625350099042</v>
      </c>
      <c r="H223" s="24">
        <f t="shared" si="113"/>
        <v>86633.866274300526</v>
      </c>
      <c r="I223" s="24">
        <f t="shared" si="113"/>
        <v>88707.124959816822</v>
      </c>
      <c r="J223" s="24">
        <f t="shared" si="113"/>
        <v>93438.368422281157</v>
      </c>
      <c r="K223" s="24">
        <f t="shared" si="113"/>
        <v>96078.097934639445</v>
      </c>
      <c r="L223" s="24">
        <f t="shared" si="113"/>
        <v>98675.584853233042</v>
      </c>
      <c r="N223" s="126"/>
      <c r="P223" s="220"/>
    </row>
    <row r="224" spans="2:16" ht="3.75" customHeight="1">
      <c r="C224" s="129"/>
      <c r="D224" s="129"/>
      <c r="E224" s="129"/>
      <c r="F224" s="129"/>
      <c r="G224" s="129"/>
      <c r="H224" s="129"/>
      <c r="I224" s="129"/>
      <c r="J224" s="129"/>
      <c r="K224" s="129"/>
      <c r="L224" s="129"/>
      <c r="N224" s="215"/>
      <c r="P224" s="215"/>
    </row>
    <row r="225" spans="2:16">
      <c r="B225" s="464" t="s">
        <v>476</v>
      </c>
      <c r="C225" s="466"/>
      <c r="D225" s="466"/>
      <c r="E225" s="466"/>
      <c r="F225" s="466"/>
      <c r="G225" s="466"/>
      <c r="H225" s="466"/>
      <c r="I225" s="466"/>
      <c r="J225" s="466"/>
      <c r="K225" s="466"/>
      <c r="L225" s="466"/>
      <c r="M225" s="129"/>
      <c r="N225" s="466"/>
      <c r="O225" s="129"/>
      <c r="P225" s="466"/>
    </row>
    <row r="226" spans="2:16" ht="3.75" customHeight="1">
      <c r="C226" s="129"/>
      <c r="D226" s="129"/>
      <c r="E226" s="129"/>
      <c r="F226" s="129"/>
      <c r="G226" s="129"/>
      <c r="H226" s="129"/>
      <c r="I226" s="129"/>
      <c r="J226" s="129"/>
      <c r="K226" s="129"/>
      <c r="L226" s="129"/>
      <c r="M226" s="129"/>
      <c r="N226" s="129"/>
      <c r="O226" s="129"/>
      <c r="P226" s="129"/>
    </row>
    <row r="227" spans="2:16">
      <c r="B227" s="100" t="s">
        <v>98</v>
      </c>
      <c r="C227" s="129"/>
      <c r="D227" s="206">
        <f t="shared" ref="D227:L227" si="114">(D203+D185+D167+D149+D131+D113+D95+D77+D59+D41+D23) - D223</f>
        <v>0</v>
      </c>
      <c r="E227" s="206">
        <f t="shared" si="114"/>
        <v>0</v>
      </c>
      <c r="F227" s="206">
        <f t="shared" si="114"/>
        <v>0</v>
      </c>
      <c r="G227" s="206">
        <f t="shared" si="114"/>
        <v>0</v>
      </c>
      <c r="H227" s="206">
        <f t="shared" si="114"/>
        <v>0</v>
      </c>
      <c r="I227" s="206">
        <f t="shared" si="114"/>
        <v>0</v>
      </c>
      <c r="J227" s="206">
        <f t="shared" si="114"/>
        <v>0</v>
      </c>
      <c r="K227" s="206">
        <f t="shared" si="114"/>
        <v>0</v>
      </c>
      <c r="L227" s="206">
        <f t="shared" si="114"/>
        <v>0</v>
      </c>
      <c r="M227" s="129"/>
      <c r="N227" s="129"/>
      <c r="O227" s="129"/>
      <c r="P227" s="129"/>
    </row>
    <row r="228" spans="2:16">
      <c r="C228" s="129"/>
      <c r="D228" s="129"/>
      <c r="E228" s="129"/>
      <c r="F228" s="129"/>
      <c r="G228" s="129"/>
      <c r="H228" s="129"/>
      <c r="I228" s="129"/>
      <c r="J228" s="129"/>
      <c r="K228" s="129"/>
      <c r="L228" s="129"/>
      <c r="M228" s="129"/>
      <c r="N228" s="129"/>
      <c r="O228" s="129"/>
      <c r="P228" s="129"/>
    </row>
    <row r="229" spans="2:16">
      <c r="B229" s="100" t="s">
        <v>639</v>
      </c>
      <c r="C229" s="129"/>
      <c r="D229" s="528">
        <v>2023</v>
      </c>
      <c r="E229" s="528">
        <v>2024</v>
      </c>
      <c r="F229" s="528">
        <v>2025</v>
      </c>
      <c r="G229" s="129"/>
      <c r="H229" s="129"/>
      <c r="I229" s="129"/>
      <c r="J229" s="129"/>
      <c r="K229" s="129"/>
      <c r="L229" s="129"/>
    </row>
    <row r="230" spans="2:16">
      <c r="B230" s="176" t="s">
        <v>669</v>
      </c>
      <c r="C230" s="206"/>
      <c r="G230" s="206"/>
      <c r="H230" s="206"/>
      <c r="I230" s="206"/>
      <c r="J230" s="206"/>
      <c r="K230" s="206"/>
      <c r="L230" s="206"/>
    </row>
    <row r="231" spans="2:16">
      <c r="B231" s="107" t="s">
        <v>486</v>
      </c>
      <c r="C231" s="129"/>
      <c r="D231" s="129">
        <v>17148.885829568495</v>
      </c>
      <c r="E231" s="129">
        <v>16311.65500581989</v>
      </c>
      <c r="F231" s="129">
        <v>20134.268465043126</v>
      </c>
      <c r="G231" s="129"/>
      <c r="H231" s="129"/>
      <c r="I231" s="129"/>
      <c r="J231" s="129"/>
      <c r="K231" s="129"/>
      <c r="L231" s="129"/>
    </row>
    <row r="232" spans="2:16">
      <c r="B232" s="107" t="s">
        <v>73</v>
      </c>
      <c r="C232" s="129"/>
      <c r="D232" s="129">
        <v>20814.350837268703</v>
      </c>
      <c r="E232" s="129">
        <v>20823.315135630695</v>
      </c>
      <c r="F232" s="129">
        <v>17850.443610719223</v>
      </c>
      <c r="G232" s="129"/>
      <c r="H232" s="129"/>
      <c r="I232" s="129"/>
      <c r="J232" s="129"/>
      <c r="K232" s="129"/>
      <c r="L232" s="129"/>
    </row>
    <row r="233" spans="2:16">
      <c r="B233" s="107" t="s">
        <v>525</v>
      </c>
      <c r="C233" s="129"/>
      <c r="D233" s="129">
        <v>21609.899999999998</v>
      </c>
      <c r="E233" s="129">
        <v>20322.882917241379</v>
      </c>
      <c r="F233" s="129">
        <v>19264.86288265734</v>
      </c>
      <c r="G233" s="129"/>
      <c r="H233" s="129"/>
      <c r="I233" s="129"/>
      <c r="J233" s="129"/>
      <c r="K233" s="129"/>
      <c r="L233" s="129"/>
    </row>
    <row r="234" spans="2:16">
      <c r="B234" s="107" t="s">
        <v>641</v>
      </c>
      <c r="C234" s="129"/>
      <c r="D234" s="129">
        <v>28815.5</v>
      </c>
      <c r="E234" s="129">
        <v>25411.743999999999</v>
      </c>
      <c r="F234" s="129">
        <v>26659.259859999998</v>
      </c>
      <c r="G234" s="129"/>
      <c r="H234" s="129"/>
      <c r="I234" s="129"/>
      <c r="J234" s="129"/>
      <c r="K234" s="129"/>
      <c r="L234" s="129"/>
    </row>
    <row r="235" spans="2:16">
      <c r="B235" s="176" t="s">
        <v>76</v>
      </c>
      <c r="C235" s="129"/>
      <c r="D235" s="206">
        <f>SUM(D231:D234)</f>
        <v>88388.636666837192</v>
      </c>
      <c r="E235" s="206">
        <f t="shared" ref="E235:F235" si="115">SUM(E231:E234)</f>
        <v>82869.597058691957</v>
      </c>
      <c r="F235" s="206">
        <f t="shared" si="115"/>
        <v>83908.83481841968</v>
      </c>
      <c r="G235" s="206"/>
      <c r="H235" s="206"/>
      <c r="I235" s="206"/>
      <c r="J235" s="206"/>
      <c r="K235" s="206"/>
      <c r="L235" s="206"/>
    </row>
    <row r="236" spans="2:16">
      <c r="B236" s="103"/>
      <c r="C236" s="129"/>
      <c r="D236" s="129"/>
      <c r="E236" s="129"/>
      <c r="F236" s="129"/>
      <c r="G236" s="129"/>
      <c r="H236" s="129"/>
      <c r="I236" s="129"/>
      <c r="J236" s="129"/>
      <c r="K236" s="129"/>
      <c r="L236" s="129"/>
    </row>
    <row r="237" spans="2:16" hidden="1">
      <c r="B237" s="107" t="s">
        <v>486</v>
      </c>
      <c r="C237" s="129"/>
      <c r="D237" s="106">
        <f>D231/D$235</f>
        <v>0.19401686094794851</v>
      </c>
      <c r="E237" s="106">
        <f t="shared" ref="E237:F237" si="116">E231/E$235</f>
        <v>0.19683521562518574</v>
      </c>
      <c r="F237" s="106">
        <f t="shared" si="116"/>
        <v>0.23995409432885187</v>
      </c>
      <c r="G237" s="106"/>
      <c r="H237" s="106"/>
      <c r="I237" s="106"/>
      <c r="J237" s="106"/>
      <c r="K237" s="106"/>
      <c r="L237" s="106"/>
    </row>
    <row r="238" spans="2:16" hidden="1">
      <c r="B238" s="107" t="s">
        <v>73</v>
      </c>
      <c r="C238" s="129"/>
      <c r="D238" s="106">
        <f>D232/D$235</f>
        <v>0.23548672795717082</v>
      </c>
      <c r="E238" s="106">
        <f>E232/E$235</f>
        <v>0.25127810288353025</v>
      </c>
      <c r="F238" s="106">
        <f t="shared" ref="D238:F240" si="117">F232/F$235</f>
        <v>0.21273616359168762</v>
      </c>
      <c r="G238" s="106"/>
      <c r="H238" s="106"/>
      <c r="I238" s="106"/>
      <c r="J238" s="106"/>
      <c r="K238" s="106"/>
      <c r="L238" s="106"/>
    </row>
    <row r="239" spans="2:16" hidden="1">
      <c r="B239" s="107" t="s">
        <v>525</v>
      </c>
      <c r="C239" s="129"/>
      <c r="D239" s="106">
        <f t="shared" si="117"/>
        <v>0.24448730985017991</v>
      </c>
      <c r="E239" s="106">
        <f t="shared" si="117"/>
        <v>0.24523931138277169</v>
      </c>
      <c r="F239" s="106">
        <f t="shared" si="117"/>
        <v>0.22959278274268582</v>
      </c>
      <c r="G239" s="106"/>
      <c r="H239" s="106"/>
      <c r="I239" s="106"/>
      <c r="J239" s="106"/>
      <c r="K239" s="106"/>
      <c r="L239" s="106"/>
    </row>
    <row r="240" spans="2:16" hidden="1">
      <c r="B240" s="107" t="s">
        <v>641</v>
      </c>
      <c r="C240" s="129"/>
      <c r="D240" s="106">
        <f t="shared" si="117"/>
        <v>0.32600910124470078</v>
      </c>
      <c r="E240" s="106">
        <f t="shared" si="117"/>
        <v>0.30664737010851234</v>
      </c>
      <c r="F240" s="106">
        <f t="shared" si="117"/>
        <v>0.3177169593367748</v>
      </c>
      <c r="G240" s="106"/>
      <c r="H240" s="106"/>
      <c r="I240" s="106"/>
      <c r="J240" s="106"/>
      <c r="K240" s="106"/>
      <c r="L240" s="106"/>
    </row>
    <row r="241" spans="2:12">
      <c r="B241" s="176" t="s">
        <v>640</v>
      </c>
      <c r="C241" s="129"/>
      <c r="D241" s="206">
        <v>7000</v>
      </c>
      <c r="E241" s="206">
        <v>10000</v>
      </c>
      <c r="F241" s="206">
        <v>7000</v>
      </c>
      <c r="G241" s="129"/>
      <c r="H241" s="129"/>
      <c r="I241" s="129"/>
      <c r="J241" s="129"/>
      <c r="K241" s="129"/>
      <c r="L241" s="129"/>
    </row>
    <row r="242" spans="2:12">
      <c r="B242" s="107" t="s">
        <v>486</v>
      </c>
      <c r="C242" s="129"/>
      <c r="D242" s="129">
        <f t="shared" ref="D242:F245" si="118">D$241*D237</f>
        <v>1358.1180266356396</v>
      </c>
      <c r="E242" s="129">
        <f t="shared" si="118"/>
        <v>1968.3521562518574</v>
      </c>
      <c r="F242" s="129">
        <f t="shared" si="118"/>
        <v>1679.6786603019632</v>
      </c>
      <c r="G242" s="129"/>
      <c r="H242" s="129"/>
      <c r="I242" s="129"/>
      <c r="J242" s="129"/>
      <c r="K242" s="129"/>
      <c r="L242" s="129"/>
    </row>
    <row r="243" spans="2:12">
      <c r="B243" s="107" t="s">
        <v>73</v>
      </c>
      <c r="C243" s="133"/>
      <c r="D243" s="129">
        <f t="shared" si="118"/>
        <v>1648.4070957001957</v>
      </c>
      <c r="E243" s="129">
        <f t="shared" si="118"/>
        <v>2512.7810288353025</v>
      </c>
      <c r="F243" s="129">
        <f t="shared" si="118"/>
        <v>1489.1531451418134</v>
      </c>
      <c r="G243" s="129"/>
      <c r="H243" s="129"/>
      <c r="I243" s="129"/>
      <c r="J243" s="129"/>
      <c r="K243" s="129"/>
      <c r="L243" s="129"/>
    </row>
    <row r="244" spans="2:12">
      <c r="B244" s="107" t="s">
        <v>525</v>
      </c>
      <c r="D244" s="129">
        <f t="shared" si="118"/>
        <v>1711.4111689512595</v>
      </c>
      <c r="E244" s="129">
        <f t="shared" si="118"/>
        <v>2452.3931138277171</v>
      </c>
      <c r="F244" s="129">
        <f t="shared" si="118"/>
        <v>1607.1494791988007</v>
      </c>
      <c r="G244" s="129"/>
      <c r="H244" s="129"/>
      <c r="I244" s="129"/>
      <c r="J244" s="129"/>
      <c r="K244" s="129"/>
      <c r="L244" s="129"/>
    </row>
    <row r="245" spans="2:12">
      <c r="B245" s="107" t="s">
        <v>641</v>
      </c>
      <c r="D245" s="129">
        <f t="shared" si="118"/>
        <v>2282.0637087129053</v>
      </c>
      <c r="E245" s="129">
        <f t="shared" si="118"/>
        <v>3066.4737010851236</v>
      </c>
      <c r="F245" s="129">
        <f t="shared" si="118"/>
        <v>2224.0187153574234</v>
      </c>
      <c r="G245" s="129"/>
      <c r="H245" s="129"/>
      <c r="I245" s="129"/>
      <c r="J245" s="129"/>
      <c r="K245" s="129"/>
      <c r="L245" s="129"/>
    </row>
    <row r="246" spans="2:12">
      <c r="B246" s="176" t="s">
        <v>76</v>
      </c>
      <c r="C246" s="100"/>
      <c r="D246" s="177">
        <f>SUM(D242:D245)</f>
        <v>7000</v>
      </c>
      <c r="E246" s="177">
        <f t="shared" ref="E246:F246" si="119">SUM(E242:E245)</f>
        <v>10000.000000000002</v>
      </c>
      <c r="F246" s="177">
        <f t="shared" si="119"/>
        <v>7000.0000000000009</v>
      </c>
      <c r="G246" s="177"/>
      <c r="H246" s="177"/>
      <c r="I246" s="177"/>
      <c r="J246" s="177"/>
      <c r="K246" s="177"/>
      <c r="L246" s="177"/>
    </row>
    <row r="247" spans="2:12">
      <c r="B247" s="176"/>
      <c r="C247" s="100"/>
      <c r="D247" s="177"/>
      <c r="E247" s="177"/>
      <c r="F247" s="177"/>
      <c r="G247" s="177"/>
      <c r="H247" s="177"/>
      <c r="I247" s="177"/>
      <c r="J247" s="177"/>
      <c r="K247" s="177"/>
      <c r="L247" s="177"/>
    </row>
    <row r="248" spans="2:12">
      <c r="B248" s="176" t="s">
        <v>667</v>
      </c>
      <c r="C248" s="100"/>
      <c r="D248" s="177">
        <f>SUM(D249:D252)</f>
        <v>81388.636666837192</v>
      </c>
      <c r="E248" s="177">
        <f t="shared" ref="E248:F248" si="120">SUM(E249:E252)</f>
        <v>72869.597058691957</v>
      </c>
      <c r="F248" s="177">
        <f t="shared" si="120"/>
        <v>76908.83481841968</v>
      </c>
      <c r="G248" s="177"/>
      <c r="H248" s="177"/>
      <c r="I248" s="177"/>
      <c r="J248" s="177"/>
      <c r="K248" s="177"/>
      <c r="L248" s="177"/>
    </row>
    <row r="249" spans="2:12">
      <c r="B249" s="107" t="s">
        <v>486</v>
      </c>
      <c r="C249" s="100"/>
      <c r="D249" s="133">
        <f>D231-D242</f>
        <v>15790.767802932856</v>
      </c>
      <c r="E249" s="133">
        <f t="shared" ref="E249:F249" si="121">E231-E242</f>
        <v>14343.302849568032</v>
      </c>
      <c r="F249" s="133">
        <f t="shared" si="121"/>
        <v>18454.589804741161</v>
      </c>
      <c r="G249" s="177"/>
      <c r="H249" s="177"/>
      <c r="I249" s="177"/>
      <c r="J249" s="177"/>
      <c r="K249" s="177"/>
      <c r="L249" s="177"/>
    </row>
    <row r="250" spans="2:12">
      <c r="B250" s="107" t="s">
        <v>73</v>
      </c>
      <c r="C250" s="100"/>
      <c r="D250" s="133">
        <f t="shared" ref="D250:F252" si="122">D232-D243</f>
        <v>19165.943741568506</v>
      </c>
      <c r="E250" s="133">
        <f t="shared" si="122"/>
        <v>18310.534106795392</v>
      </c>
      <c r="F250" s="133">
        <f t="shared" si="122"/>
        <v>16361.290465577409</v>
      </c>
      <c r="G250" s="177"/>
      <c r="H250" s="177"/>
      <c r="I250" s="177"/>
      <c r="J250" s="177"/>
      <c r="K250" s="177"/>
      <c r="L250" s="177"/>
    </row>
    <row r="251" spans="2:12">
      <c r="B251" s="107" t="s">
        <v>525</v>
      </c>
      <c r="C251" s="100"/>
      <c r="D251" s="133">
        <f t="shared" si="122"/>
        <v>19898.488831048737</v>
      </c>
      <c r="E251" s="133">
        <f t="shared" si="122"/>
        <v>17870.48980341366</v>
      </c>
      <c r="F251" s="133">
        <f t="shared" si="122"/>
        <v>17657.71340345854</v>
      </c>
      <c r="G251" s="177"/>
      <c r="H251" s="177"/>
      <c r="I251" s="177"/>
      <c r="J251" s="177"/>
      <c r="K251" s="177"/>
      <c r="L251" s="177"/>
    </row>
    <row r="252" spans="2:12">
      <c r="B252" s="107" t="s">
        <v>641</v>
      </c>
      <c r="C252" s="100"/>
      <c r="D252" s="133">
        <f t="shared" si="122"/>
        <v>26533.436291287093</v>
      </c>
      <c r="E252" s="133">
        <f t="shared" si="122"/>
        <v>22345.270298914875</v>
      </c>
      <c r="F252" s="133">
        <f t="shared" si="122"/>
        <v>24435.241144642576</v>
      </c>
      <c r="G252" s="177"/>
      <c r="H252" s="177"/>
      <c r="I252" s="177"/>
      <c r="J252" s="177"/>
      <c r="K252" s="177"/>
      <c r="L252" s="177"/>
    </row>
    <row r="253" spans="2:12">
      <c r="B253" s="107"/>
      <c r="C253" s="100"/>
      <c r="D253" s="133"/>
      <c r="E253" s="133"/>
      <c r="F253" s="133"/>
      <c r="G253" s="177"/>
      <c r="H253" s="177"/>
      <c r="I253" s="177"/>
      <c r="J253" s="177"/>
      <c r="K253" s="177"/>
      <c r="L253" s="177"/>
    </row>
    <row r="254" spans="2:12">
      <c r="B254" s="176" t="s">
        <v>668</v>
      </c>
      <c r="C254" s="100"/>
      <c r="D254" s="177">
        <f>SUM(D255:D258)</f>
        <v>6782.3863889030999</v>
      </c>
      <c r="E254" s="177">
        <f t="shared" ref="E254:F254" si="123">SUM(E255:E258)</f>
        <v>6072.4664215576631</v>
      </c>
      <c r="F254" s="177">
        <f t="shared" si="123"/>
        <v>6409.0695682016403</v>
      </c>
      <c r="G254" s="177"/>
      <c r="H254" s="177"/>
      <c r="I254" s="177"/>
      <c r="J254" s="177"/>
      <c r="K254" s="177"/>
      <c r="L254" s="177"/>
    </row>
    <row r="255" spans="2:12">
      <c r="B255" s="107" t="s">
        <v>486</v>
      </c>
      <c r="C255" s="100"/>
      <c r="D255" s="133">
        <f>D249/12</f>
        <v>1315.8973169110714</v>
      </c>
      <c r="E255" s="133">
        <f t="shared" ref="E255:F255" si="124">E249/12</f>
        <v>1195.2752374640027</v>
      </c>
      <c r="F255" s="133">
        <f t="shared" si="124"/>
        <v>1537.8824837284301</v>
      </c>
      <c r="G255" s="177"/>
      <c r="H255" s="177"/>
      <c r="I255" s="177"/>
      <c r="J255" s="177"/>
      <c r="K255" s="177"/>
      <c r="L255" s="177"/>
    </row>
    <row r="256" spans="2:12">
      <c r="B256" s="107" t="s">
        <v>73</v>
      </c>
      <c r="C256" s="100"/>
      <c r="D256" s="133">
        <f t="shared" ref="D256:F258" si="125">D250/12</f>
        <v>1597.1619784640422</v>
      </c>
      <c r="E256" s="133">
        <f t="shared" si="125"/>
        <v>1525.8778422329494</v>
      </c>
      <c r="F256" s="133">
        <f t="shared" si="125"/>
        <v>1363.4408721314508</v>
      </c>
      <c r="G256" s="177"/>
      <c r="H256" s="177"/>
      <c r="I256" s="177"/>
      <c r="J256" s="177"/>
      <c r="K256" s="177"/>
      <c r="L256" s="177"/>
    </row>
    <row r="257" spans="2:12">
      <c r="B257" s="107" t="s">
        <v>525</v>
      </c>
      <c r="C257" s="100"/>
      <c r="D257" s="133">
        <f t="shared" si="125"/>
        <v>1658.2074025873947</v>
      </c>
      <c r="E257" s="133">
        <f t="shared" si="125"/>
        <v>1489.2074836178051</v>
      </c>
      <c r="F257" s="133">
        <f t="shared" si="125"/>
        <v>1471.4761169548783</v>
      </c>
      <c r="G257" s="177"/>
      <c r="H257" s="177"/>
      <c r="I257" s="177"/>
      <c r="J257" s="177"/>
      <c r="K257" s="177"/>
      <c r="L257" s="177"/>
    </row>
    <row r="258" spans="2:12">
      <c r="B258" s="107" t="s">
        <v>641</v>
      </c>
      <c r="D258" s="133">
        <f t="shared" si="125"/>
        <v>2211.1196909405912</v>
      </c>
      <c r="E258" s="133">
        <f t="shared" si="125"/>
        <v>1862.1058582429062</v>
      </c>
      <c r="F258" s="133">
        <f t="shared" si="125"/>
        <v>2036.2700953868814</v>
      </c>
    </row>
    <row r="259" spans="2:12">
      <c r="B259" s="107"/>
    </row>
    <row r="260" spans="2:12">
      <c r="B260" s="176" t="s">
        <v>642</v>
      </c>
      <c r="C260" s="100"/>
      <c r="D260" s="206">
        <v>11000</v>
      </c>
      <c r="E260" s="206">
        <v>11000</v>
      </c>
      <c r="F260" s="206">
        <v>11000</v>
      </c>
      <c r="G260" s="206">
        <v>11000</v>
      </c>
      <c r="H260" s="206"/>
      <c r="I260" s="206"/>
      <c r="J260" s="206"/>
      <c r="K260" s="206"/>
      <c r="L260" s="206"/>
    </row>
    <row r="261" spans="2:12">
      <c r="B261" s="107" t="s">
        <v>486</v>
      </c>
      <c r="D261" s="106">
        <f>2800/D260</f>
        <v>0.25454545454545452</v>
      </c>
      <c r="E261" s="106">
        <f>2800/E260</f>
        <v>0.25454545454545452</v>
      </c>
      <c r="F261" s="106">
        <f t="shared" ref="F261:G261" si="126">2800/F260</f>
        <v>0.25454545454545452</v>
      </c>
      <c r="G261" s="106">
        <f t="shared" si="126"/>
        <v>0.25454545454545452</v>
      </c>
      <c r="H261" s="106"/>
      <c r="I261" s="106"/>
      <c r="J261" s="106"/>
      <c r="K261" s="106"/>
      <c r="L261" s="106"/>
    </row>
    <row r="262" spans="2:12">
      <c r="B262" s="107" t="s">
        <v>73</v>
      </c>
      <c r="D262" s="106">
        <f>1100/D260</f>
        <v>0.1</v>
      </c>
      <c r="E262" s="106">
        <f>1100/E260</f>
        <v>0.1</v>
      </c>
      <c r="F262" s="106">
        <f t="shared" ref="F262" si="127">1100/F260</f>
        <v>0.1</v>
      </c>
      <c r="G262" s="106">
        <v>0</v>
      </c>
      <c r="H262" s="106"/>
      <c r="I262" s="106"/>
      <c r="J262" s="106"/>
      <c r="K262" s="106"/>
      <c r="L262" s="106"/>
    </row>
    <row r="263" spans="2:12">
      <c r="B263" s="107" t="s">
        <v>525</v>
      </c>
      <c r="D263" s="106">
        <f>5200/D260</f>
        <v>0.47272727272727272</v>
      </c>
      <c r="E263" s="106">
        <f t="shared" ref="E263:F263" si="128">5200/E260</f>
        <v>0.47272727272727272</v>
      </c>
      <c r="F263" s="106">
        <f t="shared" si="128"/>
        <v>0.47272727272727272</v>
      </c>
      <c r="G263" s="106">
        <f t="shared" ref="G263" si="129">5200/G260</f>
        <v>0.47272727272727272</v>
      </c>
      <c r="H263" s="106"/>
      <c r="I263" s="106"/>
      <c r="J263" s="106"/>
      <c r="K263" s="106"/>
      <c r="L263" s="106"/>
    </row>
    <row r="264" spans="2:12">
      <c r="B264" s="107" t="s">
        <v>641</v>
      </c>
      <c r="D264" s="106">
        <f>1-D263-D262-D261</f>
        <v>0.17272727272727284</v>
      </c>
      <c r="E264" s="106">
        <f t="shared" ref="E264:G264" si="130">1-E263-E262-E261</f>
        <v>0.17272727272727284</v>
      </c>
      <c r="F264" s="106">
        <f t="shared" si="130"/>
        <v>0.17272727272727284</v>
      </c>
      <c r="G264" s="106">
        <f t="shared" si="130"/>
        <v>0.27272727272727282</v>
      </c>
      <c r="H264" s="106"/>
      <c r="I264" s="106"/>
      <c r="J264" s="106"/>
      <c r="K264" s="106"/>
      <c r="L264" s="106"/>
    </row>
    <row r="266" spans="2:12">
      <c r="B266" s="107" t="s">
        <v>486</v>
      </c>
      <c r="D266" s="133"/>
      <c r="E266" s="133">
        <f>E$260*E261</f>
        <v>2799.9999999999995</v>
      </c>
      <c r="F266" s="133">
        <f t="shared" ref="F266" si="131">F$260*F261</f>
        <v>2799.9999999999995</v>
      </c>
      <c r="G266" s="133">
        <f t="shared" ref="G266" si="132">G$260*G261</f>
        <v>2799.9999999999995</v>
      </c>
      <c r="H266" s="133"/>
      <c r="I266" s="133"/>
      <c r="J266" s="133"/>
      <c r="K266" s="133"/>
      <c r="L266" s="133"/>
    </row>
    <row r="267" spans="2:12">
      <c r="B267" s="107" t="s">
        <v>73</v>
      </c>
      <c r="D267" s="133"/>
      <c r="E267" s="133">
        <f>E$260*E262</f>
        <v>1100</v>
      </c>
      <c r="F267" s="133">
        <f t="shared" ref="F267" si="133">F$260*F262</f>
        <v>1100</v>
      </c>
      <c r="G267" s="133">
        <f t="shared" ref="G267" si="134">G$260*G262</f>
        <v>0</v>
      </c>
      <c r="H267" s="133"/>
      <c r="I267" s="133"/>
      <c r="J267" s="133"/>
      <c r="K267" s="133"/>
      <c r="L267" s="133"/>
    </row>
    <row r="268" spans="2:12">
      <c r="B268" s="107" t="s">
        <v>525</v>
      </c>
      <c r="D268" s="133"/>
      <c r="E268" s="133">
        <f t="shared" ref="E268:F268" si="135">E$260*E263</f>
        <v>5200</v>
      </c>
      <c r="F268" s="133">
        <f t="shared" si="135"/>
        <v>5200</v>
      </c>
      <c r="G268" s="133">
        <f t="shared" ref="G268" si="136">G$260*G263</f>
        <v>5200</v>
      </c>
      <c r="H268" s="133"/>
      <c r="I268" s="133"/>
      <c r="J268" s="133"/>
      <c r="K268" s="133"/>
      <c r="L268" s="133"/>
    </row>
    <row r="269" spans="2:12">
      <c r="B269" s="107" t="s">
        <v>641</v>
      </c>
      <c r="D269" s="133"/>
      <c r="E269" s="133">
        <f t="shared" ref="E269:F269" si="137">E$260*E264</f>
        <v>1900.0000000000011</v>
      </c>
      <c r="F269" s="133">
        <f t="shared" si="137"/>
        <v>1900.0000000000011</v>
      </c>
      <c r="G269" s="133">
        <f t="shared" ref="G269" si="138">G$260*G264</f>
        <v>3000.0000000000009</v>
      </c>
      <c r="H269" s="133"/>
      <c r="I269" s="133"/>
      <c r="J269" s="133"/>
      <c r="K269" s="133"/>
      <c r="L269" s="133"/>
    </row>
    <row r="270" spans="2:12">
      <c r="B270" s="176" t="s">
        <v>76</v>
      </c>
      <c r="C270" s="100"/>
      <c r="D270" s="177"/>
      <c r="E270" s="177">
        <f t="shared" ref="E270:G270" si="139">SUM(E266:E269)</f>
        <v>11000.000000000002</v>
      </c>
      <c r="F270" s="177">
        <f t="shared" si="139"/>
        <v>11000.000000000002</v>
      </c>
      <c r="G270" s="177">
        <f t="shared" si="139"/>
        <v>11000</v>
      </c>
      <c r="H270" s="177"/>
      <c r="I270" s="177"/>
      <c r="J270" s="177"/>
      <c r="K270" s="177"/>
      <c r="L270" s="177"/>
    </row>
    <row r="272" spans="2:12">
      <c r="D272" s="133">
        <f>(D270 + D246) + D222</f>
        <v>0</v>
      </c>
      <c r="E272" s="133">
        <f t="shared" ref="E272:L272" si="140">(E270 + E246) + E222</f>
        <v>0</v>
      </c>
      <c r="F272" s="133">
        <f t="shared" si="140"/>
        <v>2589.1531451418159</v>
      </c>
      <c r="G272" s="133">
        <f t="shared" si="140"/>
        <v>0</v>
      </c>
      <c r="H272" s="133">
        <f t="shared" si="140"/>
        <v>0</v>
      </c>
      <c r="I272" s="133">
        <f t="shared" si="140"/>
        <v>0</v>
      </c>
      <c r="J272" s="133">
        <f t="shared" si="140"/>
        <v>0</v>
      </c>
      <c r="K272" s="133">
        <f t="shared" si="140"/>
        <v>0</v>
      </c>
      <c r="L272" s="133">
        <f t="shared" si="140"/>
        <v>0</v>
      </c>
    </row>
    <row r="274" spans="5:6">
      <c r="E274" s="133">
        <f>E249-E266</f>
        <v>11543.302849568032</v>
      </c>
      <c r="F274" s="263">
        <f>E274/12</f>
        <v>961.94190413066929</v>
      </c>
    </row>
    <row r="275" spans="5:6">
      <c r="E275" s="133">
        <f t="shared" ref="E275:E277" si="141">E250-E267</f>
        <v>17210.534106795392</v>
      </c>
      <c r="F275" s="263">
        <f t="shared" ref="F275:F277" si="142">E275/12</f>
        <v>1434.2111755662827</v>
      </c>
    </row>
    <row r="276" spans="5:6">
      <c r="E276" s="133">
        <f>E251-E268</f>
        <v>12670.48980341366</v>
      </c>
      <c r="F276" s="263">
        <f t="shared" si="142"/>
        <v>1055.8741502844716</v>
      </c>
    </row>
    <row r="277" spans="5:6">
      <c r="E277" s="133">
        <f t="shared" si="141"/>
        <v>20445.270298914875</v>
      </c>
      <c r="F277" s="263">
        <f t="shared" si="142"/>
        <v>1703.7725249095729</v>
      </c>
    </row>
  </sheetData>
  <pageMargins left="0.7" right="0.7" top="0.75" bottom="0.75" header="0.3" footer="0.3"/>
  <pageSetup scale="37" fitToHeight="0"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882C7-B714-4F69-9BB1-19458048EE32}">
  <sheetPr>
    <tabColor theme="8" tint="0.59999389629810485"/>
  </sheetPr>
  <dimension ref="B2:D10"/>
  <sheetViews>
    <sheetView workbookViewId="0"/>
  </sheetViews>
  <sheetFormatPr defaultRowHeight="15"/>
  <cols>
    <col min="2" max="2" width="14.5546875" customWidth="1"/>
    <col min="3" max="4" width="15.6640625" customWidth="1"/>
  </cols>
  <sheetData>
    <row r="2" spans="2:4">
      <c r="B2" s="587" t="s">
        <v>723</v>
      </c>
      <c r="C2" s="586"/>
      <c r="D2" s="586"/>
    </row>
    <row r="3" spans="2:4">
      <c r="B3" s="440"/>
      <c r="C3" s="440" t="s">
        <v>720</v>
      </c>
      <c r="D3" s="440" t="s">
        <v>721</v>
      </c>
    </row>
    <row r="4" spans="2:4">
      <c r="B4" s="518" t="s">
        <v>486</v>
      </c>
      <c r="C4" s="588">
        <v>304261.5708652332</v>
      </c>
      <c r="D4" s="588">
        <f>SUM(Overheads!D23:L23)</f>
        <v>212503.65424721237</v>
      </c>
    </row>
    <row r="5" spans="2:4">
      <c r="B5" s="518" t="s">
        <v>722</v>
      </c>
      <c r="C5" s="588">
        <v>640806.14503026276</v>
      </c>
      <c r="D5" s="588">
        <f>SUM(Overheads!D167:L167)</f>
        <v>18267.58462077548</v>
      </c>
    </row>
    <row r="6" spans="2:4">
      <c r="B6" s="518" t="s">
        <v>525</v>
      </c>
      <c r="C6" s="588">
        <v>334756.91828963091</v>
      </c>
      <c r="D6" s="588">
        <f>SUM(Overheads!D149:L149, Overheads!D131:L131, Overheads!D95:L95, Overheads!D113:L113)</f>
        <v>198062.24092488975</v>
      </c>
    </row>
    <row r="7" spans="2:4">
      <c r="B7" s="589" t="s">
        <v>641</v>
      </c>
      <c r="C7" s="590">
        <v>371875.2532797294</v>
      </c>
      <c r="D7" s="590">
        <f>SUM(Overheads!D59:L59, Overheads!D77:L77 )</f>
        <v>263407.44800823607</v>
      </c>
    </row>
    <row r="8" spans="2:4" ht="15.75" thickBot="1">
      <c r="B8" s="591" t="s">
        <v>193</v>
      </c>
      <c r="C8" s="592">
        <f>SUM(C4:C7)</f>
        <v>1651699.8874648563</v>
      </c>
      <c r="D8" s="592">
        <f>SUM(D4:D7)</f>
        <v>692240.92780111358</v>
      </c>
    </row>
    <row r="10" spans="2:4">
      <c r="D10" s="395"/>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73F5C-0625-47E6-AEEE-184E6C393AA7}">
  <sheetPr>
    <tabColor theme="8" tint="0.79998168889431442"/>
  </sheetPr>
  <dimension ref="A1:V168"/>
  <sheetViews>
    <sheetView workbookViewId="0"/>
  </sheetViews>
  <sheetFormatPr defaultColWidth="0" defaultRowHeight="13.5" zeroHeight="1"/>
  <cols>
    <col min="1" max="1" width="1.5546875" style="8" customWidth="1"/>
    <col min="2" max="2" width="41" style="8" customWidth="1"/>
    <col min="3" max="6" width="10.44140625" style="8" bestFit="1" customWidth="1"/>
    <col min="7" max="7" width="10.5546875" style="8" bestFit="1" customWidth="1"/>
    <col min="8" max="11" width="10.44140625" style="8" bestFit="1" customWidth="1"/>
    <col min="12" max="12" width="1.5546875" style="8" customWidth="1"/>
    <col min="13" max="22" width="0" style="8" hidden="1" customWidth="1"/>
    <col min="23" max="16384" width="8.5546875" style="8" hidden="1"/>
  </cols>
  <sheetData>
    <row r="1" spans="1:15" ht="70.5" customHeight="1">
      <c r="A1" s="452"/>
      <c r="B1" s="10" t="s">
        <v>197</v>
      </c>
      <c r="C1" s="11"/>
      <c r="D1" s="11"/>
      <c r="E1" s="11"/>
      <c r="F1" s="11"/>
      <c r="G1" s="11"/>
      <c r="H1" s="11"/>
      <c r="I1" s="11"/>
      <c r="J1" s="11"/>
      <c r="K1" s="11"/>
      <c r="L1" s="11"/>
      <c r="M1" s="11"/>
      <c r="N1" s="11"/>
      <c r="O1" s="11"/>
    </row>
    <row r="2" spans="1:15"/>
    <row r="3" spans="1:15">
      <c r="B3" s="439" t="s">
        <v>64</v>
      </c>
      <c r="C3" s="440">
        <v>2023</v>
      </c>
      <c r="D3" s="440">
        <f>C3+1</f>
        <v>2024</v>
      </c>
      <c r="E3" s="440">
        <f t="shared" ref="E3:K3" si="0">D3+1</f>
        <v>2025</v>
      </c>
      <c r="F3" s="440">
        <f t="shared" si="0"/>
        <v>2026</v>
      </c>
      <c r="G3" s="440">
        <f t="shared" si="0"/>
        <v>2027</v>
      </c>
      <c r="H3" s="440">
        <f t="shared" si="0"/>
        <v>2028</v>
      </c>
      <c r="I3" s="440">
        <f t="shared" si="0"/>
        <v>2029</v>
      </c>
      <c r="J3" s="440">
        <f t="shared" si="0"/>
        <v>2030</v>
      </c>
      <c r="K3" s="440">
        <f t="shared" si="0"/>
        <v>2031</v>
      </c>
    </row>
    <row r="4" spans="1:15" ht="3.75" customHeight="1">
      <c r="B4" s="100"/>
    </row>
    <row r="5" spans="1:15">
      <c r="B5" s="464" t="s">
        <v>198</v>
      </c>
      <c r="C5" s="466"/>
      <c r="D5" s="466"/>
      <c r="E5" s="466"/>
      <c r="F5" s="466"/>
      <c r="G5" s="466"/>
      <c r="H5" s="466"/>
      <c r="I5" s="466"/>
      <c r="J5" s="466"/>
      <c r="K5" s="466"/>
    </row>
    <row r="6" spans="1:15" ht="3.75" customHeight="1">
      <c r="B6" s="124"/>
      <c r="C6" s="128"/>
      <c r="D6" s="128"/>
      <c r="E6" s="128"/>
      <c r="F6" s="128"/>
      <c r="G6" s="128"/>
      <c r="H6" s="128"/>
      <c r="I6" s="128"/>
      <c r="J6" s="128"/>
      <c r="K6" s="128"/>
    </row>
    <row r="7" spans="1:15">
      <c r="B7" s="431" t="s">
        <v>716</v>
      </c>
      <c r="C7" s="516">
        <f>(Overheads!D$9 / (1 + 0.15)) - 1000</f>
        <v>6407.9248604121731</v>
      </c>
      <c r="D7" s="516">
        <f>Overheads!E$9 / (1 + 0.15)</f>
        <v>6347.0733288695656</v>
      </c>
      <c r="E7" s="516">
        <f>Overheads!F$9 / (1 + 0.15)</f>
        <v>7073.2392533286957</v>
      </c>
      <c r="F7" s="516">
        <f>Overheads!G$9 / (1 + 0.15)</f>
        <v>9314.9483045053184</v>
      </c>
      <c r="G7" s="516">
        <f>Overheads!H$9 / (1 + 0.15)</f>
        <v>11263.091399927278</v>
      </c>
      <c r="H7" s="516">
        <f>Overheads!I$9 / (1 + 0.15)</f>
        <v>11508.695652173914</v>
      </c>
      <c r="I7" s="516">
        <f>Overheads!J$9 / (1 + 0.15)</f>
        <v>13886.269306723616</v>
      </c>
      <c r="J7" s="516">
        <f>Overheads!K$9 / (1 + 0.15)</f>
        <v>14441.72007899255</v>
      </c>
      <c r="K7" s="516">
        <f>Overheads!L$9 / (1 + 0.15)</f>
        <v>14874.971681362327</v>
      </c>
    </row>
    <row r="8" spans="1:15" ht="3.75" customHeight="1">
      <c r="B8" s="124"/>
      <c r="C8" s="128"/>
      <c r="D8" s="128"/>
      <c r="E8" s="128"/>
      <c r="F8" s="128"/>
      <c r="G8" s="128"/>
      <c r="H8" s="128"/>
      <c r="I8" s="128"/>
      <c r="J8" s="128"/>
      <c r="K8" s="128"/>
    </row>
    <row r="9" spans="1:15">
      <c r="B9" s="19" t="s">
        <v>715</v>
      </c>
      <c r="C9" s="152">
        <v>45</v>
      </c>
      <c r="D9" s="152">
        <f>ROUND(D7/D10,0)</f>
        <v>44</v>
      </c>
      <c r="E9" s="152">
        <f t="shared" ref="E9:K9" si="1">ROUND(E7/E10,0)</f>
        <v>47</v>
      </c>
      <c r="F9" s="152">
        <f t="shared" si="1"/>
        <v>60</v>
      </c>
      <c r="G9" s="152">
        <f t="shared" si="1"/>
        <v>71</v>
      </c>
      <c r="H9" s="152">
        <f t="shared" si="1"/>
        <v>70</v>
      </c>
      <c r="I9" s="152">
        <f t="shared" si="1"/>
        <v>82</v>
      </c>
      <c r="J9" s="152">
        <f t="shared" si="1"/>
        <v>83</v>
      </c>
      <c r="K9" s="152">
        <f t="shared" si="1"/>
        <v>83</v>
      </c>
    </row>
    <row r="10" spans="1:15">
      <c r="B10" s="124" t="s">
        <v>714</v>
      </c>
      <c r="C10" s="128">
        <v>141</v>
      </c>
      <c r="D10" s="128">
        <f>C10 * (1.03)</f>
        <v>145.22999999999999</v>
      </c>
      <c r="E10" s="128">
        <f t="shared" ref="E10:K10" si="2">D10 * (1.03)</f>
        <v>149.58689999999999</v>
      </c>
      <c r="F10" s="128">
        <f t="shared" si="2"/>
        <v>154.07450699999998</v>
      </c>
      <c r="G10" s="128">
        <f t="shared" si="2"/>
        <v>158.69674221</v>
      </c>
      <c r="H10" s="128">
        <f t="shared" si="2"/>
        <v>163.4576444763</v>
      </c>
      <c r="I10" s="128">
        <f t="shared" si="2"/>
        <v>168.36137381058901</v>
      </c>
      <c r="J10" s="128">
        <f t="shared" si="2"/>
        <v>173.41221502490669</v>
      </c>
      <c r="K10" s="128">
        <f t="shared" si="2"/>
        <v>178.61458147565389</v>
      </c>
    </row>
    <row r="11" spans="1:15" ht="3.75" customHeight="1">
      <c r="B11" s="124"/>
      <c r="C11" s="128"/>
      <c r="D11" s="128"/>
      <c r="E11" s="128"/>
      <c r="F11" s="128"/>
      <c r="G11" s="128"/>
      <c r="H11" s="128"/>
      <c r="I11" s="128"/>
      <c r="J11" s="128"/>
      <c r="K11" s="128"/>
    </row>
    <row r="12" spans="1:15">
      <c r="B12" s="464" t="s">
        <v>717</v>
      </c>
      <c r="C12" s="466"/>
      <c r="D12" s="466"/>
      <c r="E12" s="466"/>
      <c r="F12" s="466"/>
      <c r="G12" s="466"/>
      <c r="H12" s="466"/>
      <c r="I12" s="466"/>
      <c r="J12" s="466"/>
      <c r="K12" s="466"/>
    </row>
    <row r="13" spans="1:15" ht="3.75" customHeight="1">
      <c r="B13" s="124"/>
      <c r="C13" s="128"/>
      <c r="D13" s="128"/>
      <c r="E13" s="128"/>
      <c r="F13" s="128"/>
      <c r="G13" s="128"/>
      <c r="H13" s="128"/>
      <c r="I13" s="128"/>
      <c r="J13" s="128"/>
      <c r="K13" s="128"/>
    </row>
    <row r="14" spans="1:15">
      <c r="B14" s="431" t="s">
        <v>716</v>
      </c>
      <c r="C14" s="516">
        <f>(Overheads!D$45 / (1 + 0.15)) - 1000</f>
        <v>11589.565217391306</v>
      </c>
      <c r="D14" s="516">
        <f>(Overheads!E$45 / (1 + 0.15))</f>
        <v>9273.1304347826081</v>
      </c>
      <c r="E14" s="516">
        <f>(Overheads!F$45 / (1 + 0.15))</f>
        <v>9937.5339130434804</v>
      </c>
      <c r="F14" s="516">
        <f>(Overheads!G$45 / (1 + 0.15))</f>
        <v>10289.383095652176</v>
      </c>
      <c r="G14" s="516">
        <f>(Overheads!H$45 / (1 + 0.15))</f>
        <v>10655.30624556522</v>
      </c>
      <c r="H14" s="516">
        <f>(Overheads!I$45 / (1 + 0.15))</f>
        <v>11035.866321474787</v>
      </c>
      <c r="I14" s="516">
        <f>(Overheads!J$45 / (1 + 0.15))</f>
        <v>11431.648800420735</v>
      </c>
      <c r="J14" s="516">
        <f>(Overheads!K$45 / (1 + 0.15))</f>
        <v>11843.26257852452</v>
      </c>
      <c r="K14" s="516">
        <f>(Overheads!L$45 / (1 + 0.15))</f>
        <v>12271.340907752457</v>
      </c>
    </row>
    <row r="15" spans="1:15" ht="3.75" customHeight="1">
      <c r="B15" s="124"/>
      <c r="C15" s="128"/>
      <c r="D15" s="128"/>
      <c r="E15" s="128"/>
      <c r="F15" s="128"/>
      <c r="G15" s="128"/>
      <c r="H15" s="128"/>
      <c r="I15" s="128"/>
      <c r="J15" s="128"/>
      <c r="K15" s="128"/>
    </row>
    <row r="16" spans="1:15">
      <c r="B16" s="19" t="s">
        <v>715</v>
      </c>
      <c r="C16" s="152">
        <v>70</v>
      </c>
      <c r="D16" s="152">
        <f>ROUND(D14/D17,0)</f>
        <v>58</v>
      </c>
      <c r="E16" s="152">
        <f t="shared" ref="E16:K16" si="3">ROUND(E14/E17,0)</f>
        <v>60</v>
      </c>
      <c r="F16" s="152">
        <f t="shared" si="3"/>
        <v>60</v>
      </c>
      <c r="G16" s="152">
        <f t="shared" si="3"/>
        <v>61</v>
      </c>
      <c r="H16" s="152">
        <f t="shared" si="3"/>
        <v>61</v>
      </c>
      <c r="I16" s="152">
        <f t="shared" si="3"/>
        <v>61</v>
      </c>
      <c r="J16" s="152">
        <f t="shared" si="3"/>
        <v>62</v>
      </c>
      <c r="K16" s="152">
        <f t="shared" si="3"/>
        <v>62</v>
      </c>
    </row>
    <row r="17" spans="2:11">
      <c r="B17" s="124" t="s">
        <v>714</v>
      </c>
      <c r="C17" s="128">
        <v>156</v>
      </c>
      <c r="D17" s="128">
        <f>C17*1.03</f>
        <v>160.68</v>
      </c>
      <c r="E17" s="128">
        <f t="shared" ref="E17:K17" si="4">D17*1.03</f>
        <v>165.50040000000001</v>
      </c>
      <c r="F17" s="128">
        <f t="shared" si="4"/>
        <v>170.46541200000001</v>
      </c>
      <c r="G17" s="128">
        <f t="shared" si="4"/>
        <v>175.57937436000003</v>
      </c>
      <c r="H17" s="128">
        <f t="shared" si="4"/>
        <v>180.84675559080003</v>
      </c>
      <c r="I17" s="128">
        <f t="shared" si="4"/>
        <v>186.27215825852403</v>
      </c>
      <c r="J17" s="128">
        <f t="shared" si="4"/>
        <v>191.86032300627974</v>
      </c>
      <c r="K17" s="128">
        <f t="shared" si="4"/>
        <v>197.61613269646813</v>
      </c>
    </row>
    <row r="18" spans="2:11" ht="3.75" customHeight="1">
      <c r="B18" s="124"/>
      <c r="C18" s="128"/>
      <c r="D18" s="128"/>
      <c r="E18" s="128"/>
      <c r="F18" s="128"/>
      <c r="G18" s="128"/>
      <c r="H18" s="128"/>
      <c r="I18" s="128"/>
      <c r="J18" s="128"/>
      <c r="K18" s="128"/>
    </row>
    <row r="19" spans="2:11">
      <c r="B19" s="464" t="s">
        <v>718</v>
      </c>
      <c r="C19" s="466"/>
      <c r="D19" s="466"/>
      <c r="E19" s="466"/>
      <c r="F19" s="466"/>
      <c r="G19" s="466"/>
      <c r="H19" s="466"/>
      <c r="I19" s="466"/>
      <c r="J19" s="466"/>
      <c r="K19" s="466"/>
    </row>
    <row r="20" spans="2:11" ht="3.75" customHeight="1">
      <c r="B20" s="124"/>
      <c r="C20" s="128"/>
      <c r="D20" s="128"/>
      <c r="E20" s="128"/>
      <c r="F20" s="128"/>
      <c r="G20" s="128"/>
      <c r="H20" s="128"/>
      <c r="I20" s="128"/>
      <c r="J20" s="128"/>
      <c r="K20" s="128"/>
    </row>
    <row r="21" spans="2:11">
      <c r="B21" s="431" t="s">
        <v>716</v>
      </c>
      <c r="C21" s="516">
        <f>(Overheads!D$63 / (1 + 0.15))</f>
        <v>425.6</v>
      </c>
      <c r="D21" s="516">
        <f>(Overheads!E$63 / (1 + 0.15))</f>
        <v>442.62400000000002</v>
      </c>
      <c r="E21" s="516">
        <f>(Overheads!F$63 / (1 + 0.15))</f>
        <v>460.32896000000011</v>
      </c>
      <c r="F21" s="516">
        <f>(Overheads!G$63 / (1 + 0.15))</f>
        <v>478.74211840000015</v>
      </c>
      <c r="G21" s="516">
        <f>(Overheads!H$63 / (1 + 0.15))</f>
        <v>497.89180313600014</v>
      </c>
      <c r="H21" s="516">
        <f>(Overheads!I$63 / (1 + 0.15))</f>
        <v>517.80747526144012</v>
      </c>
      <c r="I21" s="516">
        <f>(Overheads!J$63 / (1 + 0.15))</f>
        <v>538.51977427189775</v>
      </c>
      <c r="J21" s="516">
        <f>(Overheads!K$63 / (1 + 0.15))</f>
        <v>560.06056524277369</v>
      </c>
      <c r="K21" s="516">
        <f>(Overheads!L$63 / (1 + 0.15))</f>
        <v>582.46298785248462</v>
      </c>
    </row>
    <row r="22" spans="2:11" ht="3.75" customHeight="1">
      <c r="B22" s="124"/>
      <c r="C22" s="128"/>
      <c r="D22" s="128"/>
      <c r="E22" s="128"/>
      <c r="F22" s="128"/>
      <c r="G22" s="128"/>
      <c r="H22" s="128"/>
      <c r="I22" s="128"/>
      <c r="J22" s="128"/>
      <c r="K22" s="128"/>
    </row>
    <row r="23" spans="2:11">
      <c r="B23" s="19" t="s">
        <v>715</v>
      </c>
      <c r="C23" s="152">
        <v>24</v>
      </c>
      <c r="D23" s="152">
        <f>ROUND(D21/D24,0)</f>
        <v>26</v>
      </c>
      <c r="E23" s="152">
        <f t="shared" ref="E23" si="5">ROUND(E21/E24,0)</f>
        <v>26</v>
      </c>
      <c r="F23" s="152">
        <f t="shared" ref="F23" si="6">ROUND(F21/F24,0)</f>
        <v>26</v>
      </c>
      <c r="G23" s="152">
        <f t="shared" ref="G23" si="7">ROUND(G21/G24,0)</f>
        <v>26</v>
      </c>
      <c r="H23" s="152">
        <f t="shared" ref="H23" si="8">ROUND(H21/H24,0)</f>
        <v>27</v>
      </c>
      <c r="I23" s="152">
        <f t="shared" ref="I23" si="9">ROUND(I21/I24,0)</f>
        <v>27</v>
      </c>
      <c r="J23" s="152">
        <f t="shared" ref="J23" si="10">ROUND(J21/J24,0)</f>
        <v>27</v>
      </c>
      <c r="K23" s="152">
        <f t="shared" ref="K23" si="11">ROUND(K21/K24,0)</f>
        <v>27</v>
      </c>
    </row>
    <row r="24" spans="2:11">
      <c r="B24" s="124" t="s">
        <v>714</v>
      </c>
      <c r="C24" s="128">
        <f>1346/80</f>
        <v>16.824999999999999</v>
      </c>
      <c r="D24" s="128">
        <f>C24*1.03</f>
        <v>17.329750000000001</v>
      </c>
      <c r="E24" s="128">
        <f t="shared" ref="E24:K24" si="12">D24*1.03</f>
        <v>17.849642500000002</v>
      </c>
      <c r="F24" s="128">
        <f t="shared" si="12"/>
        <v>18.385131775000001</v>
      </c>
      <c r="G24" s="128">
        <f t="shared" si="12"/>
        <v>18.936685728250001</v>
      </c>
      <c r="H24" s="128">
        <f t="shared" si="12"/>
        <v>19.504786300097503</v>
      </c>
      <c r="I24" s="128">
        <f t="shared" si="12"/>
        <v>20.089929889100429</v>
      </c>
      <c r="J24" s="128">
        <f t="shared" si="12"/>
        <v>20.692627785773443</v>
      </c>
      <c r="K24" s="128">
        <f t="shared" si="12"/>
        <v>21.313406619346647</v>
      </c>
    </row>
    <row r="25" spans="2:11" ht="3.75" customHeight="1">
      <c r="B25" s="124"/>
      <c r="C25" s="128"/>
      <c r="D25" s="128"/>
      <c r="E25" s="128"/>
      <c r="F25" s="128"/>
      <c r="G25" s="128"/>
      <c r="H25" s="128"/>
      <c r="I25" s="128"/>
      <c r="J25" s="128"/>
      <c r="K25" s="128"/>
    </row>
    <row r="26" spans="2:11">
      <c r="B26" s="464" t="s">
        <v>719</v>
      </c>
      <c r="C26" s="466"/>
      <c r="D26" s="466"/>
      <c r="E26" s="466"/>
      <c r="F26" s="466"/>
      <c r="G26" s="466"/>
      <c r="H26" s="466"/>
      <c r="I26" s="466"/>
      <c r="J26" s="466"/>
      <c r="K26" s="466"/>
    </row>
    <row r="27" spans="2:11" ht="3.75" customHeight="1">
      <c r="B27" s="124"/>
      <c r="C27" s="128"/>
      <c r="D27" s="128"/>
      <c r="E27" s="128"/>
      <c r="F27" s="128"/>
      <c r="G27" s="128"/>
      <c r="H27" s="128"/>
      <c r="I27" s="128"/>
      <c r="J27" s="128"/>
      <c r="K27" s="128"/>
    </row>
    <row r="28" spans="2:11">
      <c r="B28" s="431" t="s">
        <v>716</v>
      </c>
      <c r="C28" s="516">
        <f>(Overheads!D$81 / (1 + 0.15)) - 600</f>
        <v>7439.130434782609</v>
      </c>
      <c r="D28" s="516">
        <f>(Overheads!E$81 / (1 + 0.15))</f>
        <v>6599.478260869565</v>
      </c>
      <c r="E28" s="516">
        <f>(Overheads!F$81 / (1 + 0.15))</f>
        <v>6969.2660869565225</v>
      </c>
      <c r="F28" s="516">
        <f>(Overheads!G$81 / (1 + 0.15))</f>
        <v>7358.0777739130444</v>
      </c>
      <c r="G28" s="516">
        <f>(Overheads!H$81 / (1 + 0.15))</f>
        <v>7652.4008848695676</v>
      </c>
      <c r="H28" s="516">
        <f>(Overheads!I$81 / (1 + 0.15))</f>
        <v>7958.4969202643515</v>
      </c>
      <c r="I28" s="516">
        <f>(Overheads!J$81 / (1 + 0.15))</f>
        <v>8276.8367970749241</v>
      </c>
      <c r="J28" s="516">
        <f>(Overheads!K$81 / (1 + 0.15))</f>
        <v>8607.9102689579213</v>
      </c>
      <c r="K28" s="516">
        <f>(Overheads!L$81 / (1 + 0.15))</f>
        <v>8952.2266797162411</v>
      </c>
    </row>
    <row r="29" spans="2:11" ht="3.75" customHeight="1">
      <c r="B29" s="124"/>
      <c r="C29" s="128"/>
      <c r="D29" s="128"/>
      <c r="E29" s="128"/>
      <c r="F29" s="128"/>
      <c r="G29" s="128"/>
      <c r="H29" s="128"/>
      <c r="I29" s="128"/>
      <c r="J29" s="128"/>
      <c r="K29" s="128"/>
    </row>
    <row r="30" spans="2:11">
      <c r="B30" s="19" t="s">
        <v>715</v>
      </c>
      <c r="C30" s="152">
        <v>49</v>
      </c>
      <c r="D30" s="152">
        <f>ROUND(D28/D31,0)</f>
        <v>45</v>
      </c>
      <c r="E30" s="152">
        <f t="shared" ref="E30" si="13">ROUND(E28/E31,0)</f>
        <v>47</v>
      </c>
      <c r="F30" s="152">
        <f t="shared" ref="F30" si="14">ROUND(F28/F31,0)</f>
        <v>48</v>
      </c>
      <c r="G30" s="152">
        <f t="shared" ref="G30" si="15">ROUND(G28/G31,0)</f>
        <v>48</v>
      </c>
      <c r="H30" s="152">
        <f t="shared" ref="H30" si="16">ROUND(H28/H31,0)</f>
        <v>49</v>
      </c>
      <c r="I30" s="152">
        <f t="shared" ref="I30" si="17">ROUND(I28/I31,0)</f>
        <v>49</v>
      </c>
      <c r="J30" s="152">
        <f t="shared" ref="J30" si="18">ROUND(J28/J31,0)</f>
        <v>50</v>
      </c>
      <c r="K30" s="152">
        <f t="shared" ref="K30" si="19">ROUND(K28/K31,0)</f>
        <v>50</v>
      </c>
    </row>
    <row r="31" spans="2:11">
      <c r="B31" s="124" t="s">
        <v>714</v>
      </c>
      <c r="C31" s="128">
        <v>141</v>
      </c>
      <c r="D31" s="128">
        <f>C31*1.03</f>
        <v>145.22999999999999</v>
      </c>
      <c r="E31" s="128">
        <f t="shared" ref="E31:K31" si="20">D31*1.03</f>
        <v>149.58689999999999</v>
      </c>
      <c r="F31" s="128">
        <f t="shared" si="20"/>
        <v>154.07450699999998</v>
      </c>
      <c r="G31" s="128">
        <f t="shared" si="20"/>
        <v>158.69674221</v>
      </c>
      <c r="H31" s="128">
        <f t="shared" si="20"/>
        <v>163.4576444763</v>
      </c>
      <c r="I31" s="128">
        <f t="shared" si="20"/>
        <v>168.36137381058901</v>
      </c>
      <c r="J31" s="128">
        <f t="shared" si="20"/>
        <v>173.41221502490669</v>
      </c>
      <c r="K31" s="128">
        <f t="shared" si="20"/>
        <v>178.61458147565389</v>
      </c>
    </row>
    <row r="32" spans="2:11" ht="3.75" customHeight="1">
      <c r="B32" s="124"/>
      <c r="C32" s="128"/>
      <c r="D32" s="128"/>
      <c r="E32" s="128"/>
      <c r="F32" s="128"/>
      <c r="G32" s="128"/>
      <c r="H32" s="128"/>
      <c r="I32" s="128"/>
      <c r="J32" s="128"/>
      <c r="K32" s="128"/>
    </row>
    <row r="33" spans="2:11">
      <c r="B33" s="464" t="s">
        <v>620</v>
      </c>
      <c r="C33" s="466"/>
      <c r="D33" s="466"/>
      <c r="E33" s="466"/>
      <c r="F33" s="466"/>
      <c r="G33" s="466"/>
      <c r="H33" s="466"/>
      <c r="I33" s="466"/>
      <c r="J33" s="466"/>
      <c r="K33" s="466"/>
    </row>
    <row r="34" spans="2:11" ht="3.75" customHeight="1">
      <c r="B34" s="124"/>
      <c r="C34" s="128"/>
      <c r="D34" s="128"/>
      <c r="E34" s="128"/>
      <c r="F34" s="128"/>
      <c r="G34" s="128"/>
      <c r="H34" s="128"/>
      <c r="I34" s="128"/>
      <c r="J34" s="128"/>
      <c r="K34" s="128"/>
    </row>
    <row r="35" spans="2:11">
      <c r="B35" s="431" t="s">
        <v>716</v>
      </c>
      <c r="C35" s="516">
        <f>(Overheads!D$117 / (1 + 0.15))</f>
        <v>180.43478260869566</v>
      </c>
      <c r="D35" s="516">
        <f>(Overheads!E$117 / (1 + 0.15))</f>
        <v>375.304347826087</v>
      </c>
      <c r="E35" s="516">
        <f>(Overheads!F$117 / (1 + 0.15))</f>
        <v>390.31652173913051</v>
      </c>
      <c r="F35" s="516">
        <f>(Overheads!G$117 / (1 + 0.15))</f>
        <v>405.92918260869573</v>
      </c>
      <c r="G35" s="516">
        <f>(Overheads!H$117 / (1 + 0.15))</f>
        <v>422.16634991304358</v>
      </c>
      <c r="H35" s="516">
        <f>(Overheads!I$117 / (1 + 0.15))</f>
        <v>439.05300390956523</v>
      </c>
      <c r="I35" s="516">
        <f>(Overheads!J$117 / (1 + 0.15))</f>
        <v>456.6151240659479</v>
      </c>
      <c r="J35" s="516">
        <f>(Overheads!K$117 / (1 + 0.15))</f>
        <v>474.87972902858587</v>
      </c>
      <c r="K35" s="516">
        <f>(Overheads!L$117 / (1 + 0.15))</f>
        <v>493.87491818972927</v>
      </c>
    </row>
    <row r="36" spans="2:11" ht="3.75" customHeight="1">
      <c r="B36" s="124"/>
      <c r="C36" s="128"/>
      <c r="D36" s="128"/>
      <c r="E36" s="128"/>
      <c r="F36" s="128"/>
      <c r="G36" s="128"/>
      <c r="H36" s="128"/>
      <c r="I36" s="128"/>
      <c r="J36" s="128"/>
      <c r="K36" s="128"/>
    </row>
    <row r="37" spans="2:11">
      <c r="B37" s="19" t="s">
        <v>715</v>
      </c>
      <c r="C37" s="152">
        <v>4</v>
      </c>
      <c r="D37" s="152">
        <f>ROUND(D35/D38,0)</f>
        <v>5</v>
      </c>
      <c r="E37" s="152">
        <f t="shared" ref="E37" si="21">ROUND(E35/E38,0)</f>
        <v>5</v>
      </c>
      <c r="F37" s="152">
        <f t="shared" ref="F37" si="22">ROUND(F35/F38,0)</f>
        <v>5</v>
      </c>
      <c r="G37" s="152">
        <f t="shared" ref="G37" si="23">ROUND(G35/G38,0)</f>
        <v>5</v>
      </c>
      <c r="H37" s="152">
        <f t="shared" ref="H37" si="24">ROUND(H35/H38,0)</f>
        <v>5</v>
      </c>
      <c r="I37" s="152">
        <f t="shared" ref="I37" si="25">ROUND(I35/I38,0)</f>
        <v>5</v>
      </c>
      <c r="J37" s="152">
        <f t="shared" ref="J37" si="26">ROUND(J35/J38,0)</f>
        <v>5</v>
      </c>
      <c r="K37" s="152">
        <f t="shared" ref="K37" si="27">ROUND(K35/K38,0)</f>
        <v>5</v>
      </c>
    </row>
    <row r="38" spans="2:11">
      <c r="B38" s="124" t="s">
        <v>714</v>
      </c>
      <c r="C38" s="128">
        <v>71</v>
      </c>
      <c r="D38" s="128">
        <f>C38*1.03</f>
        <v>73.13</v>
      </c>
      <c r="E38" s="128">
        <f t="shared" ref="E38:K38" si="28">D38*1.03</f>
        <v>75.323899999999995</v>
      </c>
      <c r="F38" s="128">
        <f t="shared" si="28"/>
        <v>77.58361699999999</v>
      </c>
      <c r="G38" s="128">
        <f t="shared" si="28"/>
        <v>79.911125509999991</v>
      </c>
      <c r="H38" s="128">
        <f t="shared" si="28"/>
        <v>82.308459275299995</v>
      </c>
      <c r="I38" s="128">
        <f t="shared" si="28"/>
        <v>84.777713053558998</v>
      </c>
      <c r="J38" s="128">
        <f t="shared" si="28"/>
        <v>87.321044445165768</v>
      </c>
      <c r="K38" s="128">
        <f t="shared" si="28"/>
        <v>89.940675778520742</v>
      </c>
    </row>
    <row r="39" spans="2:11" ht="3.75" customHeight="1">
      <c r="B39" s="124"/>
      <c r="C39" s="128"/>
      <c r="D39" s="128"/>
      <c r="E39" s="128"/>
      <c r="F39" s="128"/>
      <c r="G39" s="128"/>
      <c r="H39" s="128"/>
      <c r="I39" s="128"/>
      <c r="J39" s="128"/>
      <c r="K39" s="128"/>
    </row>
    <row r="40" spans="2:11">
      <c r="B40" s="464" t="s">
        <v>619</v>
      </c>
      <c r="C40" s="466"/>
      <c r="D40" s="466"/>
      <c r="E40" s="466"/>
      <c r="F40" s="466"/>
      <c r="G40" s="466"/>
      <c r="H40" s="466"/>
      <c r="I40" s="466"/>
      <c r="J40" s="466"/>
      <c r="K40" s="466"/>
    </row>
    <row r="41" spans="2:11" ht="3.75" customHeight="1">
      <c r="B41" s="124"/>
      <c r="C41" s="128"/>
      <c r="D41" s="128"/>
      <c r="E41" s="128"/>
      <c r="F41" s="128"/>
      <c r="G41" s="128"/>
      <c r="H41" s="128"/>
      <c r="I41" s="128"/>
      <c r="J41" s="128"/>
      <c r="K41" s="128"/>
    </row>
    <row r="42" spans="2:11">
      <c r="B42" s="431" t="s">
        <v>716</v>
      </c>
      <c r="C42" s="516">
        <f>(Overheads!D$135 / (1 + 0.08))</f>
        <v>1526.5185185185182</v>
      </c>
      <c r="D42" s="516">
        <f>(Overheads!E$135 / (1 + 0.08))</f>
        <v>1587.5792592592593</v>
      </c>
      <c r="E42" s="516">
        <f>(Overheads!F$135 / (1 + 0.08))</f>
        <v>1651.0824296296298</v>
      </c>
      <c r="F42" s="516">
        <f>(Overheads!G$135 / (1 + 0.08))</f>
        <v>1797.6159952592593</v>
      </c>
      <c r="G42" s="516">
        <f>(Overheads!H$135 / (1 + 0.08))</f>
        <v>1869.5206350696296</v>
      </c>
      <c r="H42" s="516">
        <f>(Overheads!I$135 / (1 + 0.08))</f>
        <v>1944.3014604724149</v>
      </c>
      <c r="I42" s="516">
        <f>(Overheads!J$135 / (1 + 0.08))</f>
        <v>2022.0735188913118</v>
      </c>
      <c r="J42" s="516">
        <f>(Overheads!K$135 / (1 + 0.08))</f>
        <v>2102.9564596469645</v>
      </c>
      <c r="K42" s="516">
        <f>(Overheads!L$135 / (1 + 0.08))</f>
        <v>2187.0747180328431</v>
      </c>
    </row>
    <row r="43" spans="2:11" ht="3.75" customHeight="1">
      <c r="B43" s="124"/>
      <c r="C43" s="128"/>
      <c r="D43" s="128"/>
      <c r="E43" s="128"/>
      <c r="F43" s="128"/>
      <c r="G43" s="128"/>
      <c r="H43" s="128"/>
      <c r="I43" s="128"/>
      <c r="J43" s="128"/>
      <c r="K43" s="128"/>
    </row>
    <row r="44" spans="2:11">
      <c r="B44" s="19" t="s">
        <v>715</v>
      </c>
      <c r="C44" s="152">
        <v>72</v>
      </c>
      <c r="D44" s="152">
        <f>ROUND(D42/D45,0)</f>
        <v>91</v>
      </c>
      <c r="E44" s="152">
        <f t="shared" ref="E44" si="29">ROUND(E42/E45,0)</f>
        <v>92</v>
      </c>
      <c r="F44" s="152">
        <f t="shared" ref="F44" si="30">ROUND(F42/F45,0)</f>
        <v>97</v>
      </c>
      <c r="G44" s="152">
        <f t="shared" ref="G44" si="31">ROUND(G42/G45,0)</f>
        <v>98</v>
      </c>
      <c r="H44" s="152">
        <f t="shared" ref="H44" si="32">ROUND(H42/H45,0)</f>
        <v>99</v>
      </c>
      <c r="I44" s="152">
        <f t="shared" ref="I44" si="33">ROUND(I42/I45,0)</f>
        <v>100</v>
      </c>
      <c r="J44" s="152">
        <f t="shared" ref="J44" si="34">ROUND(J42/J45,0)</f>
        <v>101</v>
      </c>
      <c r="K44" s="152">
        <f t="shared" ref="K44" si="35">ROUND(K42/K45,0)</f>
        <v>102</v>
      </c>
    </row>
    <row r="45" spans="2:11">
      <c r="B45" s="124" t="s">
        <v>714</v>
      </c>
      <c r="C45" s="128">
        <v>17</v>
      </c>
      <c r="D45" s="128">
        <f>C45*1.03</f>
        <v>17.510000000000002</v>
      </c>
      <c r="E45" s="128">
        <f t="shared" ref="E45:K45" si="36">D45*1.03</f>
        <v>18.035300000000003</v>
      </c>
      <c r="F45" s="128">
        <f t="shared" si="36"/>
        <v>18.576359000000004</v>
      </c>
      <c r="G45" s="128">
        <f t="shared" si="36"/>
        <v>19.133649770000005</v>
      </c>
      <c r="H45" s="128">
        <f t="shared" si="36"/>
        <v>19.707659263100005</v>
      </c>
      <c r="I45" s="128">
        <f t="shared" si="36"/>
        <v>20.298889040993007</v>
      </c>
      <c r="J45" s="128">
        <f t="shared" si="36"/>
        <v>20.907855712222798</v>
      </c>
      <c r="K45" s="128">
        <f t="shared" si="36"/>
        <v>21.535091383589481</v>
      </c>
    </row>
    <row r="46" spans="2:11" ht="3.75" customHeight="1">
      <c r="B46" s="124"/>
      <c r="C46" s="128"/>
      <c r="D46" s="128"/>
      <c r="E46" s="128"/>
      <c r="F46" s="128"/>
      <c r="G46" s="128"/>
      <c r="H46" s="128"/>
      <c r="I46" s="128"/>
      <c r="J46" s="128"/>
      <c r="K46" s="128"/>
    </row>
    <row r="47" spans="2:11">
      <c r="B47" s="464" t="s">
        <v>73</v>
      </c>
      <c r="C47" s="466"/>
      <c r="D47" s="466"/>
      <c r="E47" s="466"/>
      <c r="F47" s="466"/>
      <c r="G47" s="466"/>
      <c r="H47" s="466"/>
      <c r="I47" s="466"/>
      <c r="J47" s="466"/>
      <c r="K47" s="466"/>
    </row>
    <row r="48" spans="2:11" ht="3.75" customHeight="1">
      <c r="B48" s="124"/>
      <c r="C48" s="128"/>
      <c r="D48" s="128"/>
      <c r="E48" s="128"/>
      <c r="F48" s="128"/>
      <c r="G48" s="128"/>
      <c r="H48" s="128"/>
      <c r="I48" s="128"/>
      <c r="J48" s="128"/>
      <c r="K48" s="128"/>
    </row>
    <row r="49" spans="2:11">
      <c r="B49" s="431" t="s">
        <v>716</v>
      </c>
      <c r="C49" s="516">
        <f>(Overheads!D$153 / (1 + 0.15))</f>
        <v>7317.3737393640849</v>
      </c>
      <c r="D49" s="516">
        <f>(Overheads!E$153 / (1 + 0.15))</f>
        <v>2195.2121218092252</v>
      </c>
      <c r="E49" s="516">
        <f>(Overheads!F$153 / (1 + 0.15))</f>
        <v>263.42545461710705</v>
      </c>
      <c r="F49" s="516">
        <f>(Overheads!G$153 / (1 + 0.15))</f>
        <v>0</v>
      </c>
      <c r="G49" s="516">
        <f>(Overheads!H$153 / (1 + 0.15))</f>
        <v>0</v>
      </c>
      <c r="H49" s="516">
        <f>(Overheads!I$153 / (1 + 0.15))</f>
        <v>0</v>
      </c>
      <c r="I49" s="516">
        <f>(Overheads!J$153 / (1 + 0.15))</f>
        <v>0</v>
      </c>
      <c r="J49" s="516">
        <f>(Overheads!K$153 / (1 + 0.15))</f>
        <v>0</v>
      </c>
      <c r="K49" s="516">
        <f>(Overheads!L$153 / (1 + 0.15))</f>
        <v>0</v>
      </c>
    </row>
    <row r="50" spans="2:11" ht="3.75" customHeight="1">
      <c r="B50" s="124"/>
      <c r="C50" s="128"/>
      <c r="D50" s="128"/>
      <c r="E50" s="128"/>
      <c r="F50" s="128"/>
      <c r="G50" s="128"/>
      <c r="H50" s="128"/>
      <c r="I50" s="128"/>
      <c r="J50" s="128"/>
      <c r="K50" s="128"/>
    </row>
    <row r="51" spans="2:11">
      <c r="B51" s="19" t="s">
        <v>715</v>
      </c>
      <c r="C51" s="152">
        <v>76</v>
      </c>
      <c r="D51" s="152">
        <f>ROUND(D49/D52,0)</f>
        <v>24</v>
      </c>
      <c r="E51" s="152">
        <f t="shared" ref="E51" si="37">ROUND(E49/E52,0)</f>
        <v>3</v>
      </c>
      <c r="F51" s="152">
        <f t="shared" ref="F51" si="38">ROUND(F49/F52,0)</f>
        <v>0</v>
      </c>
      <c r="G51" s="152">
        <f t="shared" ref="G51" si="39">ROUND(G49/G52,0)</f>
        <v>0</v>
      </c>
      <c r="H51" s="152">
        <f t="shared" ref="H51" si="40">ROUND(H49/H52,0)</f>
        <v>0</v>
      </c>
      <c r="I51" s="152">
        <f t="shared" ref="I51" si="41">ROUND(I49/I52,0)</f>
        <v>0</v>
      </c>
      <c r="J51" s="152">
        <f t="shared" ref="J51" si="42">ROUND(J49/J52,0)</f>
        <v>0</v>
      </c>
      <c r="K51" s="152">
        <f t="shared" ref="K51" si="43">ROUND(K49/K52,0)</f>
        <v>0</v>
      </c>
    </row>
    <row r="52" spans="2:11">
      <c r="B52" s="124" t="s">
        <v>714</v>
      </c>
      <c r="C52" s="128">
        <v>90</v>
      </c>
      <c r="D52" s="128">
        <f>C52*1.03</f>
        <v>92.7</v>
      </c>
      <c r="E52" s="128">
        <f t="shared" ref="E52:K52" si="44">D52*1.03</f>
        <v>95.481000000000009</v>
      </c>
      <c r="F52" s="128">
        <f t="shared" si="44"/>
        <v>98.345430000000007</v>
      </c>
      <c r="G52" s="128">
        <f t="shared" si="44"/>
        <v>101.29579290000001</v>
      </c>
      <c r="H52" s="128">
        <f t="shared" si="44"/>
        <v>104.33466668700001</v>
      </c>
      <c r="I52" s="128">
        <f t="shared" si="44"/>
        <v>107.46470668761002</v>
      </c>
      <c r="J52" s="128">
        <f t="shared" si="44"/>
        <v>110.68864788823832</v>
      </c>
      <c r="K52" s="128">
        <f t="shared" si="44"/>
        <v>114.00930732488547</v>
      </c>
    </row>
    <row r="53" spans="2:11" ht="3.75" customHeight="1">
      <c r="B53" s="124"/>
      <c r="C53" s="128"/>
      <c r="D53" s="128"/>
      <c r="E53" s="128"/>
      <c r="F53" s="128"/>
      <c r="G53" s="128"/>
      <c r="H53" s="128"/>
      <c r="I53" s="128"/>
      <c r="J53" s="128"/>
      <c r="K53" s="128"/>
    </row>
    <row r="54" spans="2:11">
      <c r="B54" s="464" t="s">
        <v>63</v>
      </c>
      <c r="C54" s="466"/>
      <c r="D54" s="466"/>
      <c r="E54" s="466"/>
      <c r="F54" s="466"/>
      <c r="G54" s="466"/>
      <c r="H54" s="466"/>
      <c r="I54" s="466"/>
      <c r="J54" s="466"/>
      <c r="K54" s="466"/>
    </row>
    <row r="55" spans="2:11" ht="3.75" customHeight="1">
      <c r="B55" s="124"/>
      <c r="C55" s="128"/>
      <c r="D55" s="128"/>
      <c r="E55" s="128"/>
      <c r="F55" s="128"/>
      <c r="G55" s="128"/>
      <c r="H55" s="128"/>
      <c r="I55" s="128"/>
      <c r="J55" s="128"/>
      <c r="K55" s="128"/>
    </row>
    <row r="56" spans="2:11">
      <c r="B56" s="431" t="s">
        <v>716</v>
      </c>
      <c r="C56" s="516">
        <f>C7+C14+C21+C28+C35+C42+C49</f>
        <v>34886.547553077384</v>
      </c>
      <c r="D56" s="516">
        <f t="shared" ref="D56:K56" si="45">D7+D14+D21+D28+D35+D42+D49</f>
        <v>26820.40175341631</v>
      </c>
      <c r="E56" s="516">
        <f t="shared" si="45"/>
        <v>26745.192619314563</v>
      </c>
      <c r="F56" s="516">
        <f t="shared" si="45"/>
        <v>29644.696470338495</v>
      </c>
      <c r="G56" s="516">
        <f t="shared" si="45"/>
        <v>32360.37731848074</v>
      </c>
      <c r="H56" s="516">
        <f t="shared" si="45"/>
        <v>33404.220833556472</v>
      </c>
      <c r="I56" s="516">
        <f t="shared" si="45"/>
        <v>36611.963321448427</v>
      </c>
      <c r="J56" s="516">
        <f t="shared" si="45"/>
        <v>38030.789680393318</v>
      </c>
      <c r="K56" s="516">
        <f t="shared" si="45"/>
        <v>39361.95189290608</v>
      </c>
    </row>
    <row r="57" spans="2:11" ht="3.75" customHeight="1">
      <c r="B57" s="124"/>
      <c r="C57" s="128"/>
      <c r="D57" s="128"/>
      <c r="E57" s="128"/>
      <c r="F57" s="128"/>
      <c r="G57" s="128"/>
      <c r="H57" s="128"/>
      <c r="I57" s="128"/>
      <c r="J57" s="128"/>
      <c r="K57" s="128"/>
    </row>
    <row r="58" spans="2:11">
      <c r="B58" s="19" t="s">
        <v>715</v>
      </c>
      <c r="C58" s="152">
        <f>C9+C16+C23+C30+C37+C44+C51</f>
        <v>340</v>
      </c>
      <c r="D58" s="152">
        <f t="shared" ref="D58:K58" si="46">D9+D16+D23+D30+D37+D44+D51</f>
        <v>293</v>
      </c>
      <c r="E58" s="152">
        <f t="shared" si="46"/>
        <v>280</v>
      </c>
      <c r="F58" s="152">
        <f t="shared" si="46"/>
        <v>296</v>
      </c>
      <c r="G58" s="152">
        <f t="shared" si="46"/>
        <v>309</v>
      </c>
      <c r="H58" s="152">
        <f t="shared" si="46"/>
        <v>311</v>
      </c>
      <c r="I58" s="152">
        <f t="shared" si="46"/>
        <v>324</v>
      </c>
      <c r="J58" s="152">
        <f t="shared" si="46"/>
        <v>328</v>
      </c>
      <c r="K58" s="152">
        <f t="shared" si="46"/>
        <v>329</v>
      </c>
    </row>
    <row r="59" spans="2:11" ht="3.75" customHeight="1">
      <c r="B59" s="124"/>
      <c r="C59" s="128"/>
      <c r="D59" s="128"/>
      <c r="E59" s="128"/>
      <c r="F59" s="128"/>
      <c r="G59" s="128"/>
      <c r="H59" s="128"/>
      <c r="I59" s="128"/>
      <c r="J59" s="128"/>
      <c r="K59" s="128"/>
    </row>
    <row r="60" spans="2:11"/>
    <row r="61" spans="2:11"/>
    <row r="62" spans="2:11"/>
    <row r="63" spans="2:11"/>
    <row r="64" spans="2:11"/>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4"/>
    <row r="165"/>
    <row r="166"/>
    <row r="167"/>
    <row r="168"/>
  </sheetData>
  <pageMargins left="0.7" right="0.7" top="0.75" bottom="0.75" header="0.3" footer="0.3"/>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1F244-7199-4DEC-99DF-65AF2F6EF067}">
  <sheetPr>
    <tabColor theme="7" tint="0.39997558519241921"/>
  </sheetPr>
  <dimension ref="B3:E12"/>
  <sheetViews>
    <sheetView workbookViewId="0"/>
  </sheetViews>
  <sheetFormatPr defaultRowHeight="15"/>
  <cols>
    <col min="2" max="2" width="13.88671875" customWidth="1"/>
    <col min="3" max="4" width="10.6640625" customWidth="1"/>
  </cols>
  <sheetData>
    <row r="3" spans="2:5" s="517" customFormat="1">
      <c r="B3" s="440"/>
      <c r="C3" s="440" t="s">
        <v>708</v>
      </c>
      <c r="D3" s="440" t="s">
        <v>712</v>
      </c>
      <c r="E3" s="440" t="s">
        <v>713</v>
      </c>
    </row>
    <row r="4" spans="2:5">
      <c r="B4" s="584" t="s">
        <v>709</v>
      </c>
      <c r="C4" s="518">
        <v>295</v>
      </c>
      <c r="D4" s="518">
        <v>228</v>
      </c>
      <c r="E4" s="585">
        <f>(D4-C4)/C4</f>
        <v>-0.22711864406779661</v>
      </c>
    </row>
    <row r="5" spans="2:5">
      <c r="B5" s="584" t="s">
        <v>110</v>
      </c>
      <c r="C5" s="518">
        <v>105</v>
      </c>
      <c r="D5" s="518">
        <v>97</v>
      </c>
      <c r="E5" s="585">
        <f t="shared" ref="E5:E10" si="0">(D5-C5)/C5</f>
        <v>-7.6190476190476197E-2</v>
      </c>
    </row>
    <row r="6" spans="2:5">
      <c r="B6" s="584" t="s">
        <v>429</v>
      </c>
      <c r="C6" s="518">
        <v>5</v>
      </c>
      <c r="D6" s="518">
        <v>5</v>
      </c>
      <c r="E6" s="585">
        <f t="shared" si="0"/>
        <v>0</v>
      </c>
    </row>
    <row r="7" spans="2:5">
      <c r="B7" s="584" t="s">
        <v>434</v>
      </c>
      <c r="C7" s="518">
        <v>6</v>
      </c>
      <c r="D7" s="518">
        <v>6</v>
      </c>
      <c r="E7" s="585">
        <f t="shared" si="0"/>
        <v>0</v>
      </c>
    </row>
    <row r="8" spans="2:5">
      <c r="B8" s="584" t="s">
        <v>710</v>
      </c>
      <c r="C8" s="518">
        <v>1</v>
      </c>
      <c r="D8" s="518">
        <v>1</v>
      </c>
      <c r="E8" s="585">
        <f t="shared" si="0"/>
        <v>0</v>
      </c>
    </row>
    <row r="9" spans="2:5">
      <c r="B9" s="584" t="s">
        <v>711</v>
      </c>
      <c r="C9" s="518">
        <v>3</v>
      </c>
      <c r="D9" s="518">
        <v>3</v>
      </c>
      <c r="E9" s="585">
        <f t="shared" si="0"/>
        <v>0</v>
      </c>
    </row>
    <row r="10" spans="2:5" s="581" customFormat="1">
      <c r="B10" s="431" t="s">
        <v>63</v>
      </c>
      <c r="C10" s="582">
        <f>SUM(C4:C9)</f>
        <v>415</v>
      </c>
      <c r="D10" s="582">
        <f>SUM(D4:D9)</f>
        <v>340</v>
      </c>
      <c r="E10" s="583">
        <f t="shared" si="0"/>
        <v>-0.18072289156626506</v>
      </c>
    </row>
    <row r="12" spans="2:5">
      <c r="D12" s="541"/>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F8AA5-50B2-462D-8432-475290BA2903}">
  <sheetPr>
    <tabColor theme="3" tint="-0.249977111117893"/>
  </sheetPr>
  <dimension ref="A1:AN226"/>
  <sheetViews>
    <sheetView workbookViewId="0"/>
  </sheetViews>
  <sheetFormatPr defaultColWidth="6.88671875" defaultRowHeight="13.5" outlineLevelRow="1"/>
  <cols>
    <col min="1" max="1" width="1.6640625" style="31" customWidth="1"/>
    <col min="2" max="4" width="1.6640625" style="18" customWidth="1"/>
    <col min="5" max="5" width="39.44140625" style="18" customWidth="1"/>
    <col min="6" max="38" width="9.88671875" style="18" customWidth="1"/>
    <col min="39" max="39" width="1.6640625" style="18" customWidth="1"/>
    <col min="40" max="40" width="1.6640625" style="31" customWidth="1"/>
    <col min="41" max="16384" width="6.88671875" style="18"/>
  </cols>
  <sheetData>
    <row r="1" spans="2:38" s="31" customFormat="1"/>
    <row r="2" spans="2:38" ht="51" customHeight="1">
      <c r="B2" s="32"/>
      <c r="C2" s="33" t="s">
        <v>200</v>
      </c>
      <c r="E2" s="34"/>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row>
    <row r="3" spans="2:38">
      <c r="E3" s="404" t="s">
        <v>201</v>
      </c>
      <c r="F3" s="405" t="s">
        <v>541</v>
      </c>
      <c r="G3" s="37"/>
      <c r="H3" s="82"/>
      <c r="I3" s="37"/>
      <c r="J3" s="37"/>
      <c r="K3" s="37"/>
      <c r="L3" s="37"/>
      <c r="M3" s="38"/>
      <c r="N3" s="38"/>
      <c r="O3" s="38"/>
      <c r="P3" s="38"/>
      <c r="Q3" s="38"/>
      <c r="R3" s="38"/>
      <c r="S3" s="38"/>
      <c r="T3" s="38"/>
      <c r="U3" s="38"/>
      <c r="V3" s="38"/>
      <c r="W3" s="38"/>
    </row>
    <row r="4" spans="2:38">
      <c r="E4" s="404" t="s">
        <v>542</v>
      </c>
      <c r="F4" s="405" t="s">
        <v>442</v>
      </c>
      <c r="G4" s="37"/>
      <c r="I4" s="37"/>
      <c r="J4" s="37"/>
      <c r="K4" s="37"/>
      <c r="L4" s="37"/>
      <c r="M4" s="38"/>
      <c r="N4" s="38"/>
      <c r="O4" s="38"/>
      <c r="P4" s="38"/>
      <c r="Q4" s="38"/>
      <c r="R4" s="38"/>
      <c r="S4" s="38"/>
      <c r="T4" s="38"/>
      <c r="U4" s="38"/>
      <c r="V4" s="38"/>
      <c r="W4" s="38"/>
    </row>
    <row r="5" spans="2:38">
      <c r="E5" s="404" t="s">
        <v>543</v>
      </c>
      <c r="F5" s="406">
        <v>256511.69877826044</v>
      </c>
      <c r="G5" s="37"/>
      <c r="I5" s="37"/>
      <c r="J5" s="37"/>
      <c r="K5" s="37"/>
      <c r="L5" s="39"/>
      <c r="M5" s="38"/>
      <c r="N5" s="38"/>
      <c r="O5" s="38"/>
      <c r="P5" s="38"/>
      <c r="Q5" s="38"/>
      <c r="R5" s="38"/>
      <c r="S5" s="38"/>
      <c r="T5" s="38"/>
      <c r="U5" s="38"/>
      <c r="V5" s="38"/>
      <c r="W5" s="38"/>
    </row>
    <row r="6" spans="2:38">
      <c r="E6" s="407" t="s">
        <v>687</v>
      </c>
      <c r="F6" s="408">
        <v>0.16733329569237387</v>
      </c>
      <c r="G6" s="37"/>
      <c r="I6" s="37"/>
      <c r="J6" s="41"/>
      <c r="K6" s="37"/>
      <c r="L6" s="37"/>
      <c r="M6" s="37"/>
      <c r="N6" s="37"/>
      <c r="O6" s="37"/>
      <c r="P6" s="37"/>
      <c r="Q6" s="38"/>
      <c r="R6" s="38"/>
      <c r="S6" s="38"/>
      <c r="T6" s="38"/>
      <c r="U6" s="38"/>
      <c r="V6" s="38"/>
      <c r="W6" s="38"/>
    </row>
    <row r="7" spans="2:38">
      <c r="E7" s="407" t="s">
        <v>688</v>
      </c>
      <c r="F7" s="408">
        <v>0.20275127364048284</v>
      </c>
      <c r="G7" s="37"/>
      <c r="I7" s="37"/>
      <c r="J7" s="41"/>
      <c r="K7" s="37"/>
      <c r="L7" s="37"/>
      <c r="M7" s="37"/>
      <c r="N7" s="37"/>
      <c r="O7" s="37"/>
      <c r="P7" s="37"/>
      <c r="Q7" s="38"/>
      <c r="R7" s="38"/>
      <c r="S7" s="38"/>
      <c r="T7" s="38"/>
      <c r="U7" s="38"/>
      <c r="V7" s="38"/>
      <c r="W7" s="38"/>
    </row>
    <row r="8" spans="2:38">
      <c r="E8" s="404" t="s">
        <v>544</v>
      </c>
      <c r="F8" s="409">
        <v>6.8948724977427229</v>
      </c>
      <c r="G8" s="37"/>
      <c r="I8" s="37"/>
      <c r="J8" s="40"/>
      <c r="K8" s="37"/>
      <c r="L8" s="37"/>
      <c r="M8" s="37"/>
      <c r="N8" s="37"/>
      <c r="O8" s="37"/>
      <c r="P8" s="37"/>
      <c r="Q8" s="38"/>
      <c r="R8" s="38"/>
      <c r="S8" s="38"/>
      <c r="T8" s="38"/>
      <c r="U8" s="38"/>
      <c r="V8" s="38"/>
      <c r="W8" s="38"/>
    </row>
    <row r="9" spans="2:38">
      <c r="E9" s="404" t="s">
        <v>545</v>
      </c>
      <c r="F9" s="410">
        <v>0.1635674285333647</v>
      </c>
      <c r="G9" s="41">
        <v>10</v>
      </c>
      <c r="I9" s="41"/>
      <c r="J9" s="301"/>
      <c r="K9" s="301"/>
      <c r="L9" s="301"/>
      <c r="M9" s="301"/>
      <c r="N9" s="301"/>
      <c r="O9" s="301"/>
      <c r="P9" s="301"/>
      <c r="Q9" s="301"/>
      <c r="R9" s="301"/>
      <c r="S9" s="301"/>
      <c r="T9" s="301"/>
      <c r="U9" s="301"/>
      <c r="V9" s="301"/>
      <c r="W9" s="301"/>
    </row>
    <row r="10" spans="2:38" ht="3.75" customHeight="1">
      <c r="E10" s="36"/>
      <c r="F10" s="37"/>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2"/>
      <c r="AJ10" s="302"/>
      <c r="AK10" s="302"/>
      <c r="AL10" s="302"/>
    </row>
    <row r="11" spans="2:38" outlineLevel="1">
      <c r="E11" s="42" t="s">
        <v>399</v>
      </c>
      <c r="F11" s="303"/>
      <c r="G11" s="304">
        <v>0</v>
      </c>
      <c r="H11" s="304">
        <v>0</v>
      </c>
      <c r="I11" s="304">
        <v>10.029459562712763</v>
      </c>
      <c r="J11" s="304">
        <v>7.9936876645356092</v>
      </c>
      <c r="K11" s="304">
        <v>7.8044086497841088</v>
      </c>
      <c r="L11" s="304">
        <v>7.5597527033889511</v>
      </c>
      <c r="M11" s="304">
        <v>7.4772372060005621</v>
      </c>
      <c r="N11" s="304">
        <v>7.4061932559196828</v>
      </c>
      <c r="O11" s="304">
        <v>7.3348140947395457</v>
      </c>
      <c r="P11" s="304">
        <v>7.2623646470457883</v>
      </c>
      <c r="Q11" s="304">
        <v>7.188818173610656</v>
      </c>
      <c r="R11" s="304">
        <v>7.1183481214344697</v>
      </c>
      <c r="S11" s="304">
        <v>7.0471188041081669</v>
      </c>
      <c r="T11" s="304">
        <v>6.9751275963957804</v>
      </c>
      <c r="U11" s="304">
        <v>6.9023720897264802</v>
      </c>
      <c r="V11" s="304">
        <v>6.8288501029346769</v>
      </c>
      <c r="W11" s="304">
        <v>6.7545596933812728</v>
      </c>
      <c r="X11" s="304">
        <v>6.6794991684682596</v>
      </c>
      <c r="Y11" s="304">
        <v>6.6036670975592857</v>
      </c>
      <c r="Z11" s="304">
        <v>6.5270623243191253</v>
      </c>
      <c r="AA11" s="304">
        <v>6.4496839794854575</v>
      </c>
      <c r="AB11" s="304">
        <v>6.3715314940867298</v>
      </c>
      <c r="AC11" s="304">
        <v>6.2926046131202984</v>
      </c>
      <c r="AD11" s="304">
        <v>6.2129034097055165</v>
      </c>
      <c r="AE11" s="304">
        <v>6.1324282997268504</v>
      </c>
      <c r="AF11" s="304">
        <v>6.0511800569825684</v>
      </c>
      <c r="AG11" s="304">
        <v>5.9691598288550605</v>
      </c>
      <c r="AH11" s="304">
        <v>5.9000501076934793</v>
      </c>
      <c r="AI11" s="304">
        <v>5.9547165571022838</v>
      </c>
      <c r="AJ11" s="304">
        <v>6.0107593669261616</v>
      </c>
      <c r="AK11" s="304">
        <v>6.0682145553162226</v>
      </c>
      <c r="AL11" s="304">
        <v>6.1271191155148808</v>
      </c>
    </row>
    <row r="12" spans="2:38" outlineLevel="1">
      <c r="E12" s="43" t="s">
        <v>400</v>
      </c>
      <c r="F12" s="305"/>
      <c r="G12" s="306">
        <v>0</v>
      </c>
      <c r="H12" s="306">
        <v>0</v>
      </c>
      <c r="I12" s="306">
        <v>1.1129047532128409</v>
      </c>
      <c r="J12" s="306">
        <v>0.39733856884806817</v>
      </c>
      <c r="K12" s="306">
        <v>0.49050494532008077</v>
      </c>
      <c r="L12" s="306">
        <v>0.38348905907579584</v>
      </c>
      <c r="M12" s="306">
        <v>0.36090651792075956</v>
      </c>
      <c r="N12" s="306">
        <v>0.34729051664598665</v>
      </c>
      <c r="O12" s="306">
        <v>0.36138708031597949</v>
      </c>
      <c r="P12" s="306">
        <v>0.35118218461976936</v>
      </c>
      <c r="Q12" s="306">
        <v>0.34235047985955935</v>
      </c>
      <c r="R12" s="306">
        <v>0.33399122266644127</v>
      </c>
      <c r="S12" s="306">
        <v>0.32579885941247644</v>
      </c>
      <c r="T12" s="306">
        <v>0.31777807279129039</v>
      </c>
      <c r="U12" s="306">
        <v>0.3171649775344601</v>
      </c>
      <c r="V12" s="306">
        <v>0.32519005592237826</v>
      </c>
      <c r="W12" s="306">
        <v>0.33217605098934344</v>
      </c>
      <c r="X12" s="306">
        <v>0.33935373292371829</v>
      </c>
      <c r="Y12" s="306">
        <v>0.34672849447183307</v>
      </c>
      <c r="Z12" s="306">
        <v>0.35430588300521432</v>
      </c>
      <c r="AA12" s="306">
        <v>0.36334164327002455</v>
      </c>
      <c r="AB12" s="306">
        <v>0.37134156899936732</v>
      </c>
      <c r="AC12" s="306">
        <v>0.37956173719978242</v>
      </c>
      <c r="AD12" s="306">
        <v>0.38800836003938577</v>
      </c>
      <c r="AE12" s="306">
        <v>0.3966878281492166</v>
      </c>
      <c r="AF12" s="306">
        <v>0.40688175483798716</v>
      </c>
      <c r="AG12" s="306">
        <v>0.41604682536502396</v>
      </c>
      <c r="AH12" s="306">
        <v>0.4254650365594882</v>
      </c>
      <c r="AI12" s="306">
        <v>0.4351435464124353</v>
      </c>
      <c r="AJ12" s="306">
        <v>0.44508971893007238</v>
      </c>
      <c r="AK12" s="306">
        <v>0.45661166993900526</v>
      </c>
      <c r="AL12" s="306">
        <v>0.46711611407175813</v>
      </c>
    </row>
    <row r="13" spans="2:38" outlineLevel="1">
      <c r="E13" s="44" t="s">
        <v>401</v>
      </c>
      <c r="F13" s="307"/>
      <c r="G13" s="308">
        <v>0</v>
      </c>
      <c r="H13" s="308">
        <v>0</v>
      </c>
      <c r="I13" s="308">
        <v>11.142364315925605</v>
      </c>
      <c r="J13" s="308">
        <v>8.3910262333836769</v>
      </c>
      <c r="K13" s="308">
        <v>8.2949135951041892</v>
      </c>
      <c r="L13" s="308">
        <v>7.9432417624647469</v>
      </c>
      <c r="M13" s="308">
        <v>7.8381437239213216</v>
      </c>
      <c r="N13" s="308">
        <v>7.7534837725656693</v>
      </c>
      <c r="O13" s="308">
        <v>7.696201175055525</v>
      </c>
      <c r="P13" s="308">
        <v>7.6135468316655572</v>
      </c>
      <c r="Q13" s="308">
        <v>7.5311686534702158</v>
      </c>
      <c r="R13" s="308">
        <v>7.4523393441009107</v>
      </c>
      <c r="S13" s="308">
        <v>7.372917663520643</v>
      </c>
      <c r="T13" s="308">
        <v>7.2929056691870704</v>
      </c>
      <c r="U13" s="308">
        <v>7.2195370672609407</v>
      </c>
      <c r="V13" s="308">
        <v>7.1540401588570548</v>
      </c>
      <c r="W13" s="308">
        <v>7.0867357443706158</v>
      </c>
      <c r="X13" s="308">
        <v>7.0188529013919778</v>
      </c>
      <c r="Y13" s="308">
        <v>6.9503955920311187</v>
      </c>
      <c r="Z13" s="308">
        <v>6.8813682073243392</v>
      </c>
      <c r="AA13" s="308">
        <v>6.8130256227554824</v>
      </c>
      <c r="AB13" s="308">
        <v>6.7428730630860976</v>
      </c>
      <c r="AC13" s="308">
        <v>6.6721663503200812</v>
      </c>
      <c r="AD13" s="308">
        <v>6.6009117697449025</v>
      </c>
      <c r="AE13" s="308">
        <v>6.5291161278760672</v>
      </c>
      <c r="AF13" s="308">
        <v>6.4580618118205555</v>
      </c>
      <c r="AG13" s="308">
        <v>6.3852066542200845</v>
      </c>
      <c r="AH13" s="308">
        <v>6.3255151442529671</v>
      </c>
      <c r="AI13" s="308">
        <v>6.3898601035147191</v>
      </c>
      <c r="AJ13" s="308">
        <v>6.4558490858562338</v>
      </c>
      <c r="AK13" s="308">
        <v>6.5248262252552278</v>
      </c>
      <c r="AL13" s="308">
        <v>6.5942352295866389</v>
      </c>
    </row>
    <row r="14" spans="2:38" ht="3.75" customHeight="1" outlineLevel="1">
      <c r="E14" s="36"/>
      <c r="F14" s="37"/>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row>
    <row r="15" spans="2:38" outlineLevel="1">
      <c r="E15" s="42" t="s">
        <v>402</v>
      </c>
      <c r="F15" s="303"/>
      <c r="G15" s="304">
        <v>0</v>
      </c>
      <c r="H15" s="304">
        <v>0</v>
      </c>
      <c r="I15" s="304">
        <v>9.9218282647282585</v>
      </c>
      <c r="J15" s="304">
        <v>7.888351492528094</v>
      </c>
      <c r="K15" s="304">
        <v>7.7014031782062293</v>
      </c>
      <c r="L15" s="304">
        <v>7.4591140580973665</v>
      </c>
      <c r="M15" s="304">
        <v>7.3790020728027095</v>
      </c>
      <c r="N15" s="304">
        <v>7.3103988892530154</v>
      </c>
      <c r="O15" s="304">
        <v>7.2414983264852975</v>
      </c>
      <c r="P15" s="304">
        <v>7.1715658954793513</v>
      </c>
      <c r="Q15" s="304">
        <v>7.1005754524906912</v>
      </c>
      <c r="R15" s="304">
        <v>7.0327010492328972</v>
      </c>
      <c r="S15" s="304">
        <v>6.9641076133832236</v>
      </c>
      <c r="T15" s="304">
        <v>6.8947931433103511</v>
      </c>
      <c r="U15" s="304">
        <v>6.8247558637139791</v>
      </c>
      <c r="V15" s="304">
        <v>6.7539942365147345</v>
      </c>
      <c r="W15" s="304">
        <v>6.6825069721275714</v>
      </c>
      <c r="X15" s="304">
        <v>6.6102930411308787</v>
      </c>
      <c r="Y15" s="304">
        <v>6.5373516863439267</v>
      </c>
      <c r="Z15" s="304">
        <v>6.4636824353256808</v>
      </c>
      <c r="AA15" s="304">
        <v>6.3892851133083672</v>
      </c>
      <c r="AB15" s="304">
        <v>6.3141598565796464</v>
      </c>
      <c r="AC15" s="304">
        <v>6.238307126327606</v>
      </c>
      <c r="AD15" s="304">
        <v>6.1617277229632901</v>
      </c>
      <c r="AE15" s="304">
        <v>6.0844228009358714</v>
      </c>
      <c r="AF15" s="304">
        <v>6.0063938840560818</v>
      </c>
      <c r="AG15" s="304">
        <v>5.9276428813439646</v>
      </c>
      <c r="AH15" s="304">
        <v>5.8615193767581975</v>
      </c>
      <c r="AI15" s="304">
        <v>5.9161858261670011</v>
      </c>
      <c r="AJ15" s="304">
        <v>5.9722286359908789</v>
      </c>
      <c r="AK15" s="304">
        <v>6.0296838243809407</v>
      </c>
      <c r="AL15" s="304">
        <v>6.0885883845795989</v>
      </c>
    </row>
    <row r="16" spans="2:38" outlineLevel="1">
      <c r="E16" s="43" t="s">
        <v>403</v>
      </c>
      <c r="F16" s="305"/>
      <c r="G16" s="306">
        <v>0</v>
      </c>
      <c r="H16" s="306">
        <v>0</v>
      </c>
      <c r="I16" s="306">
        <v>1.1129047532128409</v>
      </c>
      <c r="J16" s="306">
        <v>0.39733856884806817</v>
      </c>
      <c r="K16" s="306">
        <v>0.49050494532008077</v>
      </c>
      <c r="L16" s="306">
        <v>0.38348905907579584</v>
      </c>
      <c r="M16" s="306">
        <v>0.36090651792075956</v>
      </c>
      <c r="N16" s="306">
        <v>0.34729051664598665</v>
      </c>
      <c r="O16" s="306">
        <v>0.36138708031597949</v>
      </c>
      <c r="P16" s="306">
        <v>0.35118218461976936</v>
      </c>
      <c r="Q16" s="306">
        <v>0.34235047985955935</v>
      </c>
      <c r="R16" s="306">
        <v>0.33399122266644132</v>
      </c>
      <c r="S16" s="306">
        <v>0.32579885941247644</v>
      </c>
      <c r="T16" s="306">
        <v>0.31777807279129039</v>
      </c>
      <c r="U16" s="306">
        <v>0.3171649775344601</v>
      </c>
      <c r="V16" s="306">
        <v>0.32519005592237826</v>
      </c>
      <c r="W16" s="306">
        <v>0.33217605098934339</v>
      </c>
      <c r="X16" s="306">
        <v>0.33935373292371829</v>
      </c>
      <c r="Y16" s="306">
        <v>0.34672849447183313</v>
      </c>
      <c r="Z16" s="306">
        <v>0.35430588300521432</v>
      </c>
      <c r="AA16" s="306">
        <v>0.36334164327002455</v>
      </c>
      <c r="AB16" s="306">
        <v>0.37134156899936738</v>
      </c>
      <c r="AC16" s="306">
        <v>0.37956173719978242</v>
      </c>
      <c r="AD16" s="306">
        <v>0.38800836003938577</v>
      </c>
      <c r="AE16" s="306">
        <v>0.3966878281492166</v>
      </c>
      <c r="AF16" s="306">
        <v>0.40688175483798722</v>
      </c>
      <c r="AG16" s="306">
        <v>0.41604682536502402</v>
      </c>
      <c r="AH16" s="306">
        <v>0.42546503655948825</v>
      </c>
      <c r="AI16" s="306">
        <v>0.43514354641243536</v>
      </c>
      <c r="AJ16" s="306">
        <v>0.44508971893007238</v>
      </c>
      <c r="AK16" s="306">
        <v>0.45661166993900526</v>
      </c>
      <c r="AL16" s="306">
        <v>0.46711611407175813</v>
      </c>
    </row>
    <row r="17" spans="1:40" outlineLevel="1">
      <c r="E17" s="44" t="s">
        <v>404</v>
      </c>
      <c r="F17" s="307"/>
      <c r="G17" s="308"/>
      <c r="H17" s="308"/>
      <c r="I17" s="308">
        <v>11.0347330179411</v>
      </c>
      <c r="J17" s="308">
        <v>8.2856900613761617</v>
      </c>
      <c r="K17" s="308">
        <v>8.1919081235263107</v>
      </c>
      <c r="L17" s="308">
        <v>7.8426031171731623</v>
      </c>
      <c r="M17" s="308">
        <v>7.739908590723469</v>
      </c>
      <c r="N17" s="308">
        <v>7.6576894058990019</v>
      </c>
      <c r="O17" s="308">
        <v>7.6028854068012768</v>
      </c>
      <c r="P17" s="308">
        <v>7.5227480800991202</v>
      </c>
      <c r="Q17" s="308">
        <v>7.442925932350251</v>
      </c>
      <c r="R17" s="308">
        <v>7.3666922718993382</v>
      </c>
      <c r="S17" s="308">
        <v>7.2899064727956997</v>
      </c>
      <c r="T17" s="308">
        <v>7.2125712161016411</v>
      </c>
      <c r="U17" s="308">
        <v>7.1419208412484396</v>
      </c>
      <c r="V17" s="308">
        <v>7.0791842924371124</v>
      </c>
      <c r="W17" s="308">
        <v>7.0146830231169144</v>
      </c>
      <c r="X17" s="308">
        <v>6.9496467740545969</v>
      </c>
      <c r="Y17" s="308">
        <v>6.8840801808157597</v>
      </c>
      <c r="Z17" s="308">
        <v>6.8179883183308947</v>
      </c>
      <c r="AA17" s="308">
        <v>6.7526267565783922</v>
      </c>
      <c r="AB17" s="308">
        <v>6.6855014255790142</v>
      </c>
      <c r="AC17" s="308">
        <v>6.6178688635273888</v>
      </c>
      <c r="AD17" s="308">
        <v>6.5497360830026761</v>
      </c>
      <c r="AE17" s="308">
        <v>6.4811106290850882</v>
      </c>
      <c r="AF17" s="308">
        <v>6.4132756388940688</v>
      </c>
      <c r="AG17" s="308">
        <v>6.3436897067089886</v>
      </c>
      <c r="AH17" s="308">
        <v>6.2869844133176853</v>
      </c>
      <c r="AI17" s="308">
        <v>6.3513293725794364</v>
      </c>
      <c r="AJ17" s="308">
        <v>6.4173183549209512</v>
      </c>
      <c r="AK17" s="308">
        <v>6.486295494319946</v>
      </c>
      <c r="AL17" s="308">
        <v>6.5557044986513571</v>
      </c>
    </row>
    <row r="18" spans="1:40" ht="3.75" customHeight="1" outlineLevel="1">
      <c r="E18" s="36"/>
      <c r="F18" s="37"/>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40" outlineLevel="1">
      <c r="E19" s="42" t="s">
        <v>375</v>
      </c>
      <c r="F19" s="303"/>
      <c r="G19" s="304">
        <v>0</v>
      </c>
      <c r="H19" s="304">
        <v>0</v>
      </c>
      <c r="I19" s="304">
        <v>0</v>
      </c>
      <c r="J19" s="304">
        <v>0</v>
      </c>
      <c r="K19" s="304">
        <v>137.70039217182867</v>
      </c>
      <c r="L19" s="304">
        <v>130.10721629000284</v>
      </c>
      <c r="M19" s="304">
        <v>124.34641560354686</v>
      </c>
      <c r="N19" s="304">
        <v>119.83160154567864</v>
      </c>
      <c r="O19" s="304">
        <v>117.88369698122747</v>
      </c>
      <c r="P19" s="304">
        <v>116.06654831016243</v>
      </c>
      <c r="Q19" s="304">
        <v>114.37184372680301</v>
      </c>
      <c r="R19" s="304">
        <v>112.7925771362044</v>
      </c>
      <c r="S19" s="304">
        <v>111.32110385994457</v>
      </c>
      <c r="T19" s="304">
        <v>109.95092246674209</v>
      </c>
      <c r="U19" s="304">
        <v>108.67603884504233</v>
      </c>
      <c r="V19" s="304">
        <v>107.49092584761286</v>
      </c>
      <c r="W19" s="304">
        <v>106.3904865582352</v>
      </c>
      <c r="X19" s="304">
        <v>105.37002084407493</v>
      </c>
      <c r="Y19" s="304">
        <v>104.42519489107424</v>
      </c>
      <c r="Z19" s="304">
        <v>103.55201344997127</v>
      </c>
      <c r="AA19" s="304">
        <v>102.74679454769401</v>
      </c>
      <c r="AB19" s="304">
        <v>102.00614644324298</v>
      </c>
      <c r="AC19" s="304">
        <v>101.32694662906997</v>
      </c>
      <c r="AD19" s="304">
        <v>100.70632269864781</v>
      </c>
      <c r="AE19" s="304">
        <v>100.14163491864835</v>
      </c>
      <c r="AF19" s="304">
        <v>99.630460360113361</v>
      </c>
      <c r="AG19" s="304">
        <v>99.170578457407657</v>
      </c>
      <c r="AH19" s="304">
        <v>98.759957876752253</v>
      </c>
      <c r="AI19" s="304">
        <v>98.906955969055161</v>
      </c>
      <c r="AJ19" s="304">
        <v>99.07231946497933</v>
      </c>
      <c r="AK19" s="304">
        <v>99.24110491000576</v>
      </c>
      <c r="AL19" s="304">
        <v>99.413384183491985</v>
      </c>
    </row>
    <row r="20" spans="1:40" outlineLevel="1">
      <c r="E20" s="43" t="s">
        <v>376</v>
      </c>
      <c r="F20" s="305"/>
      <c r="G20" s="306">
        <v>0</v>
      </c>
      <c r="H20" s="306">
        <v>0</v>
      </c>
      <c r="I20" s="306">
        <v>0</v>
      </c>
      <c r="J20" s="306">
        <v>0</v>
      </c>
      <c r="K20" s="306">
        <v>0.49050494532008082</v>
      </c>
      <c r="L20" s="306">
        <v>0.38348905907579589</v>
      </c>
      <c r="M20" s="306">
        <v>0.36090651792075956</v>
      </c>
      <c r="N20" s="306">
        <v>0.34729051664598665</v>
      </c>
      <c r="O20" s="306">
        <v>0.36138708031597949</v>
      </c>
      <c r="P20" s="306">
        <v>0.35118218461976936</v>
      </c>
      <c r="Q20" s="306">
        <v>0.34235047985955935</v>
      </c>
      <c r="R20" s="306">
        <v>0.33399122266644132</v>
      </c>
      <c r="S20" s="306">
        <v>0.32579885941247638</v>
      </c>
      <c r="T20" s="306">
        <v>0.31777807279129039</v>
      </c>
      <c r="U20" s="306">
        <v>0.3171649775344601</v>
      </c>
      <c r="V20" s="306">
        <v>0.32519005592237826</v>
      </c>
      <c r="W20" s="306">
        <v>0.33217605098934344</v>
      </c>
      <c r="X20" s="306">
        <v>0.33935373292371829</v>
      </c>
      <c r="Y20" s="306">
        <v>0.34672849447183313</v>
      </c>
      <c r="Z20" s="306">
        <v>0.35430588300521432</v>
      </c>
      <c r="AA20" s="306">
        <v>0.36334164327002449</v>
      </c>
      <c r="AB20" s="306">
        <v>0.37134156899936738</v>
      </c>
      <c r="AC20" s="306">
        <v>0.37956173719978242</v>
      </c>
      <c r="AD20" s="306">
        <v>0.38800836003938577</v>
      </c>
      <c r="AE20" s="306">
        <v>0.3966878281492166</v>
      </c>
      <c r="AF20" s="306">
        <v>0.40688175483798716</v>
      </c>
      <c r="AG20" s="306">
        <v>0.41604682536502396</v>
      </c>
      <c r="AH20" s="306">
        <v>0.42546503655948825</v>
      </c>
      <c r="AI20" s="306">
        <v>0.4351435464124353</v>
      </c>
      <c r="AJ20" s="306">
        <v>0.44508971893007232</v>
      </c>
      <c r="AK20" s="306">
        <v>0.45661166993900532</v>
      </c>
      <c r="AL20" s="306">
        <v>0.46711611407175807</v>
      </c>
    </row>
    <row r="21" spans="1:40" outlineLevel="1">
      <c r="E21" s="44" t="s">
        <v>377</v>
      </c>
      <c r="F21" s="307"/>
      <c r="G21" s="308">
        <v>0</v>
      </c>
      <c r="H21" s="308">
        <v>0</v>
      </c>
      <c r="I21" s="308">
        <v>0</v>
      </c>
      <c r="J21" s="308">
        <v>0</v>
      </c>
      <c r="K21" s="308">
        <v>138.19089711714875</v>
      </c>
      <c r="L21" s="308">
        <v>130.49070534907864</v>
      </c>
      <c r="M21" s="308">
        <v>124.70732212146761</v>
      </c>
      <c r="N21" s="308">
        <v>120.17889206232462</v>
      </c>
      <c r="O21" s="308">
        <v>118.24508406154345</v>
      </c>
      <c r="P21" s="308">
        <v>116.41773049478221</v>
      </c>
      <c r="Q21" s="308">
        <v>114.71419420666257</v>
      </c>
      <c r="R21" s="308">
        <v>113.12656835887084</v>
      </c>
      <c r="S21" s="308">
        <v>111.64690271935704</v>
      </c>
      <c r="T21" s="308">
        <v>110.26870053953337</v>
      </c>
      <c r="U21" s="308">
        <v>108.99320382257679</v>
      </c>
      <c r="V21" s="308">
        <v>107.81611590353523</v>
      </c>
      <c r="W21" s="308">
        <v>106.72266260922454</v>
      </c>
      <c r="X21" s="308">
        <v>105.70937457699864</v>
      </c>
      <c r="Y21" s="308">
        <v>104.77192338554607</v>
      </c>
      <c r="Z21" s="308">
        <v>103.90631933297648</v>
      </c>
      <c r="AA21" s="308">
        <v>103.11013619096403</v>
      </c>
      <c r="AB21" s="308">
        <v>102.37748801224235</v>
      </c>
      <c r="AC21" s="308">
        <v>101.70650836626974</v>
      </c>
      <c r="AD21" s="308">
        <v>101.09433105868719</v>
      </c>
      <c r="AE21" s="308">
        <v>100.53832274679756</v>
      </c>
      <c r="AF21" s="308">
        <v>100.03734211495134</v>
      </c>
      <c r="AG21" s="308">
        <v>99.586625282772687</v>
      </c>
      <c r="AH21" s="308">
        <v>99.18542291331174</v>
      </c>
      <c r="AI21" s="308">
        <v>99.342099515467595</v>
      </c>
      <c r="AJ21" s="308">
        <v>99.517409183909407</v>
      </c>
      <c r="AK21" s="308">
        <v>99.697716579944768</v>
      </c>
      <c r="AL21" s="308">
        <v>99.880500297563742</v>
      </c>
    </row>
    <row r="22" spans="1:40" ht="3.75" customHeight="1" outlineLevel="1">
      <c r="E22" s="36"/>
      <c r="F22" s="37"/>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c r="AJ22" s="302"/>
      <c r="AK22" s="302"/>
      <c r="AL22" s="302"/>
    </row>
    <row r="23" spans="1:40" outlineLevel="1">
      <c r="E23" s="42" t="s">
        <v>378</v>
      </c>
      <c r="F23" s="303"/>
      <c r="G23" s="304">
        <v>0</v>
      </c>
      <c r="H23" s="304">
        <v>0</v>
      </c>
      <c r="I23" s="304">
        <v>0</v>
      </c>
      <c r="J23" s="304">
        <v>0</v>
      </c>
      <c r="K23" s="304">
        <v>25.702210247459888</v>
      </c>
      <c r="L23" s="304">
        <v>23.55335809190284</v>
      </c>
      <c r="M23" s="304">
        <v>22.776712536499826</v>
      </c>
      <c r="N23" s="304">
        <v>22.475968359965336</v>
      </c>
      <c r="O23" s="304">
        <v>22.19315645373937</v>
      </c>
      <c r="P23" s="304">
        <v>21.927110814073686</v>
      </c>
      <c r="Q23" s="304">
        <v>21.676853215919991</v>
      </c>
      <c r="R23" s="304">
        <v>21.512991247526021</v>
      </c>
      <c r="S23" s="304">
        <v>21.362634184484119</v>
      </c>
      <c r="T23" s="304">
        <v>21.225059026859665</v>
      </c>
      <c r="U23" s="304">
        <v>21.099600199178575</v>
      </c>
      <c r="V23" s="304">
        <v>20.985645191875506</v>
      </c>
      <c r="W23" s="304">
        <v>20.882630591057548</v>
      </c>
      <c r="X23" s="304">
        <v>20.79003846160586</v>
      </c>
      <c r="Y23" s="304">
        <v>20.70739305210985</v>
      </c>
      <c r="Z23" s="304">
        <v>20.634257793249269</v>
      </c>
      <c r="AA23" s="304">
        <v>20.570232564047238</v>
      </c>
      <c r="AB23" s="304">
        <v>20.514951202945316</v>
      </c>
      <c r="AC23" s="304">
        <v>20.468079242930887</v>
      </c>
      <c r="AD23" s="304">
        <v>20.429311852003767</v>
      </c>
      <c r="AE23" s="304">
        <v>20.398371962127488</v>
      </c>
      <c r="AF23" s="304">
        <v>20.375008571492337</v>
      </c>
      <c r="AG23" s="304">
        <v>20.358995206440859</v>
      </c>
      <c r="AH23" s="304">
        <v>20.382285497172372</v>
      </c>
      <c r="AI23" s="304">
        <v>20.438011037113402</v>
      </c>
      <c r="AJ23" s="304">
        <v>20.494962426866611</v>
      </c>
      <c r="AK23" s="304">
        <v>20.553167523598638</v>
      </c>
      <c r="AL23" s="304">
        <v>20.612654841824583</v>
      </c>
    </row>
    <row r="24" spans="1:40" outlineLevel="1">
      <c r="E24" s="43" t="s">
        <v>379</v>
      </c>
      <c r="F24" s="305"/>
      <c r="G24" s="306">
        <v>0</v>
      </c>
      <c r="H24" s="306">
        <v>0</v>
      </c>
      <c r="I24" s="306">
        <v>0</v>
      </c>
      <c r="J24" s="306">
        <v>0</v>
      </c>
      <c r="K24" s="306">
        <v>0.49050494532008082</v>
      </c>
      <c r="L24" s="306">
        <v>0.38348905907579584</v>
      </c>
      <c r="M24" s="306">
        <v>0.36090651792075956</v>
      </c>
      <c r="N24" s="306">
        <v>0.3472905166459867</v>
      </c>
      <c r="O24" s="306">
        <v>0.36138708031597944</v>
      </c>
      <c r="P24" s="306">
        <v>0.35118218461976941</v>
      </c>
      <c r="Q24" s="306">
        <v>0.34235047985955935</v>
      </c>
      <c r="R24" s="306">
        <v>0.33399122266644127</v>
      </c>
      <c r="S24" s="306">
        <v>0.32579885941247644</v>
      </c>
      <c r="T24" s="306">
        <v>0.31777807279129039</v>
      </c>
      <c r="U24" s="306">
        <v>0.3171649775344601</v>
      </c>
      <c r="V24" s="306">
        <v>0.32519005592237826</v>
      </c>
      <c r="W24" s="306">
        <v>0.33217605098934344</v>
      </c>
      <c r="X24" s="306">
        <v>0.33935373292371823</v>
      </c>
      <c r="Y24" s="306">
        <v>0.34672849447183313</v>
      </c>
      <c r="Z24" s="306">
        <v>0.35430588300521432</v>
      </c>
      <c r="AA24" s="306">
        <v>0.36334164327002455</v>
      </c>
      <c r="AB24" s="306">
        <v>0.37134156899936732</v>
      </c>
      <c r="AC24" s="306">
        <v>0.37956173719978242</v>
      </c>
      <c r="AD24" s="306">
        <v>0.38800836003938577</v>
      </c>
      <c r="AE24" s="306">
        <v>0.3966878281492166</v>
      </c>
      <c r="AF24" s="306">
        <v>0.40688175483798716</v>
      </c>
      <c r="AG24" s="306">
        <v>0.41604682536502396</v>
      </c>
      <c r="AH24" s="306">
        <v>0.4254650365594882</v>
      </c>
      <c r="AI24" s="306">
        <v>0.4351435464124353</v>
      </c>
      <c r="AJ24" s="306">
        <v>0.44508971893007226</v>
      </c>
      <c r="AK24" s="306">
        <v>0.45661166993900526</v>
      </c>
      <c r="AL24" s="306">
        <v>0.46711611407175807</v>
      </c>
    </row>
    <row r="25" spans="1:40" outlineLevel="1">
      <c r="E25" s="44" t="s">
        <v>380</v>
      </c>
      <c r="F25" s="307"/>
      <c r="G25" s="308">
        <v>0</v>
      </c>
      <c r="H25" s="308">
        <v>0</v>
      </c>
      <c r="I25" s="308">
        <v>0</v>
      </c>
      <c r="J25" s="308">
        <v>0</v>
      </c>
      <c r="K25" s="308">
        <v>26.192715192779968</v>
      </c>
      <c r="L25" s="308">
        <v>23.936847150978636</v>
      </c>
      <c r="M25" s="308">
        <v>23.137619054420586</v>
      </c>
      <c r="N25" s="308">
        <v>22.823258876611323</v>
      </c>
      <c r="O25" s="308">
        <v>22.554543534055348</v>
      </c>
      <c r="P25" s="308">
        <v>22.278292998693455</v>
      </c>
      <c r="Q25" s="308">
        <v>22.019203695779549</v>
      </c>
      <c r="R25" s="308">
        <v>21.846982470192462</v>
      </c>
      <c r="S25" s="308">
        <v>21.688433043896595</v>
      </c>
      <c r="T25" s="308">
        <v>21.542837099650956</v>
      </c>
      <c r="U25" s="308">
        <v>21.416765176713035</v>
      </c>
      <c r="V25" s="308">
        <v>21.310835247797883</v>
      </c>
      <c r="W25" s="308">
        <v>21.214806642046891</v>
      </c>
      <c r="X25" s="308">
        <v>21.129392194529579</v>
      </c>
      <c r="Y25" s="308">
        <v>21.054121546581683</v>
      </c>
      <c r="Z25" s="308">
        <v>20.988563676254483</v>
      </c>
      <c r="AA25" s="308">
        <v>20.933574207317264</v>
      </c>
      <c r="AB25" s="308">
        <v>20.886292771944682</v>
      </c>
      <c r="AC25" s="308">
        <v>20.84764098013067</v>
      </c>
      <c r="AD25" s="308">
        <v>20.817320212043153</v>
      </c>
      <c r="AE25" s="308">
        <v>20.795059790276703</v>
      </c>
      <c r="AF25" s="308">
        <v>20.781890326330323</v>
      </c>
      <c r="AG25" s="308">
        <v>20.775042031805881</v>
      </c>
      <c r="AH25" s="308">
        <v>20.807750533731859</v>
      </c>
      <c r="AI25" s="308">
        <v>20.873154583525835</v>
      </c>
      <c r="AJ25" s="308">
        <v>20.940052145796685</v>
      </c>
      <c r="AK25" s="308">
        <v>21.009779193537643</v>
      </c>
      <c r="AL25" s="308">
        <v>21.07977095589634</v>
      </c>
    </row>
    <row r="26" spans="1:40" ht="3.75" customHeight="1" outlineLevel="1">
      <c r="E26" s="36"/>
      <c r="F26" s="37"/>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row>
    <row r="27" spans="1:40" s="46" customFormat="1" outlineLevel="1">
      <c r="A27" s="45"/>
      <c r="E27" s="47" t="s">
        <v>202</v>
      </c>
      <c r="F27" s="309">
        <v>-2</v>
      </c>
      <c r="G27" s="309">
        <v>-1</v>
      </c>
      <c r="H27" s="309">
        <v>0</v>
      </c>
      <c r="I27" s="309">
        <v>1</v>
      </c>
      <c r="J27" s="309">
        <v>2</v>
      </c>
      <c r="K27" s="309">
        <v>3</v>
      </c>
      <c r="L27" s="309">
        <v>4</v>
      </c>
      <c r="M27" s="309">
        <v>5</v>
      </c>
      <c r="N27" s="309">
        <v>6</v>
      </c>
      <c r="O27" s="309">
        <v>7</v>
      </c>
      <c r="P27" s="309">
        <v>8</v>
      </c>
      <c r="Q27" s="309">
        <v>9</v>
      </c>
      <c r="R27" s="309">
        <v>10</v>
      </c>
      <c r="S27" s="309">
        <v>11</v>
      </c>
      <c r="T27" s="309">
        <v>12</v>
      </c>
      <c r="U27" s="309">
        <v>13</v>
      </c>
      <c r="V27" s="309">
        <v>14</v>
      </c>
      <c r="W27" s="309">
        <v>15</v>
      </c>
      <c r="X27" s="309">
        <v>16</v>
      </c>
      <c r="Y27" s="309">
        <v>17</v>
      </c>
      <c r="Z27" s="309">
        <v>18</v>
      </c>
      <c r="AA27" s="309">
        <v>19</v>
      </c>
      <c r="AB27" s="309">
        <v>20</v>
      </c>
      <c r="AC27" s="309">
        <v>21</v>
      </c>
      <c r="AD27" s="309">
        <v>22</v>
      </c>
      <c r="AE27" s="309">
        <v>23</v>
      </c>
      <c r="AF27" s="309">
        <v>24</v>
      </c>
      <c r="AG27" s="309">
        <v>25</v>
      </c>
      <c r="AH27" s="309">
        <v>26</v>
      </c>
      <c r="AI27" s="309">
        <v>27</v>
      </c>
      <c r="AJ27" s="309">
        <v>28</v>
      </c>
      <c r="AK27" s="309">
        <v>29</v>
      </c>
      <c r="AL27" s="309">
        <v>30</v>
      </c>
      <c r="AN27" s="45"/>
    </row>
    <row r="28" spans="1:40" ht="3.75" customHeight="1" outlineLevel="1">
      <c r="E28" s="36"/>
      <c r="F28" s="37"/>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2"/>
      <c r="AJ28" s="302"/>
      <c r="AK28" s="302"/>
      <c r="AL28" s="302"/>
    </row>
    <row r="29" spans="1:40" ht="14.25" thickBot="1">
      <c r="E29" s="48" t="s">
        <v>203</v>
      </c>
      <c r="F29" s="49">
        <v>2022</v>
      </c>
      <c r="G29" s="50">
        <v>2023</v>
      </c>
      <c r="H29" s="50">
        <v>2024</v>
      </c>
      <c r="I29" s="50">
        <v>2025</v>
      </c>
      <c r="J29" s="50">
        <v>2026</v>
      </c>
      <c r="K29" s="50">
        <v>2027</v>
      </c>
      <c r="L29" s="50">
        <v>2028</v>
      </c>
      <c r="M29" s="50">
        <v>2029</v>
      </c>
      <c r="N29" s="50">
        <v>2030</v>
      </c>
      <c r="O29" s="50">
        <v>2031</v>
      </c>
      <c r="P29" s="50">
        <v>2032</v>
      </c>
      <c r="Q29" s="50">
        <v>2033</v>
      </c>
      <c r="R29" s="50">
        <v>2034</v>
      </c>
      <c r="S29" s="50">
        <v>2035</v>
      </c>
      <c r="T29" s="50">
        <v>2036</v>
      </c>
      <c r="U29" s="50">
        <v>2037</v>
      </c>
      <c r="V29" s="50">
        <v>2038</v>
      </c>
      <c r="W29" s="50">
        <v>2039</v>
      </c>
      <c r="X29" s="50">
        <v>2040</v>
      </c>
      <c r="Y29" s="50">
        <v>2041</v>
      </c>
      <c r="Z29" s="50">
        <v>2042</v>
      </c>
      <c r="AA29" s="50">
        <v>2043</v>
      </c>
      <c r="AB29" s="50">
        <v>2044</v>
      </c>
      <c r="AC29" s="50">
        <v>2045</v>
      </c>
      <c r="AD29" s="50">
        <v>2046</v>
      </c>
      <c r="AE29" s="50">
        <v>2047</v>
      </c>
      <c r="AF29" s="50">
        <v>2048</v>
      </c>
      <c r="AG29" s="50">
        <v>2049</v>
      </c>
      <c r="AH29" s="50">
        <v>2050</v>
      </c>
      <c r="AI29" s="50">
        <v>2051</v>
      </c>
      <c r="AJ29" s="50">
        <v>2052</v>
      </c>
      <c r="AK29" s="50">
        <v>2053</v>
      </c>
      <c r="AL29" s="50">
        <v>2054</v>
      </c>
    </row>
    <row r="30" spans="1:40" ht="3.75" customHeight="1">
      <c r="E30" s="38"/>
      <c r="F30" s="310"/>
      <c r="G30" s="209"/>
      <c r="H30" s="209"/>
      <c r="I30" s="209"/>
      <c r="J30" s="209"/>
      <c r="K30" s="209"/>
      <c r="L30" s="209"/>
      <c r="M30" s="209"/>
      <c r="N30" s="209"/>
      <c r="O30" s="209"/>
      <c r="P30" s="209"/>
      <c r="Q30" s="209"/>
      <c r="R30" s="209"/>
      <c r="S30" s="209"/>
      <c r="T30" s="209"/>
      <c r="U30" s="209"/>
      <c r="V30" s="209"/>
      <c r="W30" s="209"/>
      <c r="X30" s="209"/>
      <c r="Y30" s="209"/>
      <c r="Z30" s="209"/>
      <c r="AA30" s="209"/>
      <c r="AB30" s="209"/>
      <c r="AC30" s="209"/>
      <c r="AD30" s="209"/>
      <c r="AE30" s="209"/>
      <c r="AF30" s="209"/>
      <c r="AG30" s="209"/>
      <c r="AH30" s="209"/>
      <c r="AI30" s="209"/>
      <c r="AJ30" s="209"/>
      <c r="AK30" s="209"/>
      <c r="AL30" s="209"/>
    </row>
    <row r="31" spans="1:40" outlineLevel="1">
      <c r="C31" s="411"/>
      <c r="E31" s="52" t="s">
        <v>204</v>
      </c>
      <c r="F31" s="311">
        <v>0</v>
      </c>
      <c r="G31" s="312">
        <v>0</v>
      </c>
      <c r="H31" s="312">
        <v>69944.014150000003</v>
      </c>
      <c r="I31" s="312">
        <v>174860.03537499998</v>
      </c>
      <c r="J31" s="312">
        <v>349720.07074999996</v>
      </c>
      <c r="K31" s="312">
        <v>419720.07074999996</v>
      </c>
      <c r="L31" s="312">
        <v>454720.07074999996</v>
      </c>
      <c r="M31" s="312">
        <v>464720.07074999996</v>
      </c>
      <c r="N31" s="312">
        <v>464720.07074999996</v>
      </c>
      <c r="O31" s="312">
        <v>464720.07074999996</v>
      </c>
      <c r="P31" s="312">
        <v>464720.07074999996</v>
      </c>
      <c r="Q31" s="312">
        <v>464720.07074999996</v>
      </c>
      <c r="R31" s="312">
        <v>464720.07074999996</v>
      </c>
      <c r="S31" s="312">
        <v>464720.07074999996</v>
      </c>
      <c r="T31" s="312">
        <v>464720.07074999996</v>
      </c>
      <c r="U31" s="312">
        <v>464720.07074999996</v>
      </c>
      <c r="V31" s="312">
        <v>464720.07074999996</v>
      </c>
      <c r="W31" s="312">
        <v>464720.07074999996</v>
      </c>
      <c r="X31" s="312">
        <v>464720.07074999996</v>
      </c>
      <c r="Y31" s="312">
        <v>464720.07074999996</v>
      </c>
      <c r="Z31" s="312">
        <v>464720.07074999996</v>
      </c>
      <c r="AA31" s="312">
        <v>464720.07074999996</v>
      </c>
      <c r="AB31" s="312">
        <v>464720.07074999996</v>
      </c>
      <c r="AC31" s="312">
        <v>464720.07074999996</v>
      </c>
      <c r="AD31" s="312">
        <v>464720.07074999996</v>
      </c>
      <c r="AE31" s="312">
        <v>464720.07074999996</v>
      </c>
      <c r="AF31" s="312">
        <v>464720.07074999996</v>
      </c>
      <c r="AG31" s="312">
        <v>464720.07074999996</v>
      </c>
      <c r="AH31" s="312">
        <v>464720.07074999996</v>
      </c>
      <c r="AI31" s="312">
        <v>464720.07074999996</v>
      </c>
      <c r="AJ31" s="312">
        <v>464720.07074999996</v>
      </c>
      <c r="AK31" s="312">
        <v>464720.07074999996</v>
      </c>
      <c r="AL31" s="312">
        <v>464720.07074999996</v>
      </c>
    </row>
    <row r="32" spans="1:40" outlineLevel="1">
      <c r="C32" s="411"/>
      <c r="E32" s="53" t="s">
        <v>205</v>
      </c>
      <c r="F32" s="313">
        <v>0</v>
      </c>
      <c r="G32" s="314">
        <v>69944.014150000003</v>
      </c>
      <c r="H32" s="314">
        <v>104916.02122499999</v>
      </c>
      <c r="I32" s="314">
        <v>174860.03537500001</v>
      </c>
      <c r="J32" s="314">
        <v>70000</v>
      </c>
      <c r="K32" s="314">
        <v>35000</v>
      </c>
      <c r="L32" s="314">
        <v>10000</v>
      </c>
      <c r="M32" s="314">
        <v>0</v>
      </c>
      <c r="N32" s="314">
        <v>0</v>
      </c>
      <c r="O32" s="314">
        <v>0</v>
      </c>
      <c r="P32" s="314">
        <v>0</v>
      </c>
      <c r="Q32" s="314">
        <v>0</v>
      </c>
      <c r="R32" s="314">
        <v>0</v>
      </c>
      <c r="S32" s="314">
        <v>0</v>
      </c>
      <c r="T32" s="314">
        <v>0</v>
      </c>
      <c r="U32" s="314">
        <v>0</v>
      </c>
      <c r="V32" s="314">
        <v>0</v>
      </c>
      <c r="W32" s="314">
        <v>0</v>
      </c>
      <c r="X32" s="314">
        <v>0</v>
      </c>
      <c r="Y32" s="314">
        <v>0</v>
      </c>
      <c r="Z32" s="314">
        <v>0</v>
      </c>
      <c r="AA32" s="314">
        <v>0</v>
      </c>
      <c r="AB32" s="314">
        <v>0</v>
      </c>
      <c r="AC32" s="314">
        <v>0</v>
      </c>
      <c r="AD32" s="314">
        <v>0</v>
      </c>
      <c r="AE32" s="314">
        <v>0</v>
      </c>
      <c r="AF32" s="314">
        <v>0</v>
      </c>
      <c r="AG32" s="314">
        <v>0</v>
      </c>
      <c r="AH32" s="314">
        <v>0</v>
      </c>
      <c r="AI32" s="314">
        <v>0</v>
      </c>
      <c r="AJ32" s="314">
        <v>0</v>
      </c>
      <c r="AK32" s="314">
        <v>0</v>
      </c>
      <c r="AL32" s="314">
        <v>0</v>
      </c>
    </row>
    <row r="33" spans="1:40" outlineLevel="1">
      <c r="C33" s="411"/>
      <c r="E33" s="53" t="s">
        <v>206</v>
      </c>
      <c r="F33" s="313">
        <v>0</v>
      </c>
      <c r="G33" s="314">
        <v>0</v>
      </c>
      <c r="H33" s="314">
        <v>0</v>
      </c>
      <c r="I33" s="314">
        <v>0</v>
      </c>
      <c r="J33" s="314">
        <v>0</v>
      </c>
      <c r="K33" s="314">
        <v>0</v>
      </c>
      <c r="L33" s="314">
        <v>0</v>
      </c>
      <c r="M33" s="314">
        <v>0</v>
      </c>
      <c r="N33" s="314">
        <v>0</v>
      </c>
      <c r="O33" s="314">
        <v>0</v>
      </c>
      <c r="P33" s="314">
        <v>0</v>
      </c>
      <c r="Q33" s="314">
        <v>0</v>
      </c>
      <c r="R33" s="314">
        <v>0</v>
      </c>
      <c r="S33" s="314">
        <v>0</v>
      </c>
      <c r="T33" s="314">
        <v>0</v>
      </c>
      <c r="U33" s="314">
        <v>0</v>
      </c>
      <c r="V33" s="314">
        <v>0</v>
      </c>
      <c r="W33" s="314">
        <v>0</v>
      </c>
      <c r="X33" s="314">
        <v>0</v>
      </c>
      <c r="Y33" s="314">
        <v>0</v>
      </c>
      <c r="Z33" s="314">
        <v>0</v>
      </c>
      <c r="AA33" s="314">
        <v>0</v>
      </c>
      <c r="AB33" s="314">
        <v>0</v>
      </c>
      <c r="AC33" s="314">
        <v>0</v>
      </c>
      <c r="AD33" s="314">
        <v>0</v>
      </c>
      <c r="AE33" s="314">
        <v>0</v>
      </c>
      <c r="AF33" s="314">
        <v>0</v>
      </c>
      <c r="AG33" s="314">
        <v>0</v>
      </c>
      <c r="AH33" s="314">
        <v>0</v>
      </c>
      <c r="AI33" s="314">
        <v>0</v>
      </c>
      <c r="AJ33" s="314">
        <v>0</v>
      </c>
      <c r="AK33" s="314">
        <v>0</v>
      </c>
      <c r="AL33" s="314">
        <v>389720.07074999996</v>
      </c>
    </row>
    <row r="34" spans="1:40" outlineLevel="1">
      <c r="C34" s="411"/>
      <c r="E34" s="52" t="s">
        <v>207</v>
      </c>
      <c r="F34" s="311">
        <v>0</v>
      </c>
      <c r="G34" s="312">
        <v>69944.014150000003</v>
      </c>
      <c r="H34" s="312">
        <v>174860.03537499998</v>
      </c>
      <c r="I34" s="312">
        <v>349720.07074999996</v>
      </c>
      <c r="J34" s="312">
        <v>419720.07074999996</v>
      </c>
      <c r="K34" s="312">
        <v>454720.07074999996</v>
      </c>
      <c r="L34" s="312">
        <v>464720.07074999996</v>
      </c>
      <c r="M34" s="312">
        <v>464720.07074999996</v>
      </c>
      <c r="N34" s="312">
        <v>464720.07074999996</v>
      </c>
      <c r="O34" s="312">
        <v>464720.07074999996</v>
      </c>
      <c r="P34" s="312">
        <v>464720.07074999996</v>
      </c>
      <c r="Q34" s="312">
        <v>464720.07074999996</v>
      </c>
      <c r="R34" s="312">
        <v>464720.07074999996</v>
      </c>
      <c r="S34" s="312">
        <v>464720.07074999996</v>
      </c>
      <c r="T34" s="312">
        <v>464720.07074999996</v>
      </c>
      <c r="U34" s="312">
        <v>464720.07074999996</v>
      </c>
      <c r="V34" s="312">
        <v>464720.07074999996</v>
      </c>
      <c r="W34" s="312">
        <v>464720.07074999996</v>
      </c>
      <c r="X34" s="312">
        <v>464720.07074999996</v>
      </c>
      <c r="Y34" s="312">
        <v>464720.07074999996</v>
      </c>
      <c r="Z34" s="312">
        <v>464720.07074999996</v>
      </c>
      <c r="AA34" s="312">
        <v>464720.07074999996</v>
      </c>
      <c r="AB34" s="312">
        <v>464720.07074999996</v>
      </c>
      <c r="AC34" s="312">
        <v>464720.07074999996</v>
      </c>
      <c r="AD34" s="312">
        <v>464720.07074999996</v>
      </c>
      <c r="AE34" s="312">
        <v>464720.07074999996</v>
      </c>
      <c r="AF34" s="312">
        <v>464720.07074999996</v>
      </c>
      <c r="AG34" s="312">
        <v>464720.07074999996</v>
      </c>
      <c r="AH34" s="312">
        <v>464720.07074999996</v>
      </c>
      <c r="AI34" s="312">
        <v>464720.07074999996</v>
      </c>
      <c r="AJ34" s="312">
        <v>464720.07074999996</v>
      </c>
      <c r="AK34" s="312">
        <v>464720.07074999996</v>
      </c>
      <c r="AL34" s="312">
        <v>75000</v>
      </c>
    </row>
    <row r="35" spans="1:40" ht="3.75" customHeight="1" outlineLevel="1">
      <c r="E35" s="52"/>
      <c r="F35" s="311"/>
      <c r="G35" s="312"/>
      <c r="H35" s="312"/>
      <c r="I35" s="312"/>
      <c r="J35" s="312"/>
      <c r="K35" s="312"/>
      <c r="L35" s="312"/>
      <c r="M35" s="312"/>
      <c r="N35" s="312"/>
      <c r="O35" s="312"/>
      <c r="P35" s="312"/>
      <c r="Q35" s="312"/>
      <c r="R35" s="312"/>
      <c r="S35" s="312"/>
      <c r="T35" s="312"/>
      <c r="U35" s="312"/>
      <c r="V35" s="312"/>
      <c r="W35" s="312"/>
      <c r="X35" s="312"/>
      <c r="Y35" s="312"/>
      <c r="Z35" s="312"/>
      <c r="AA35" s="312"/>
      <c r="AB35" s="312"/>
      <c r="AC35" s="312"/>
      <c r="AD35" s="312"/>
      <c r="AE35" s="312"/>
      <c r="AF35" s="312"/>
      <c r="AG35" s="312"/>
      <c r="AH35" s="312"/>
      <c r="AI35" s="312"/>
      <c r="AJ35" s="312"/>
      <c r="AK35" s="312"/>
      <c r="AL35" s="312"/>
    </row>
    <row r="36" spans="1:40" outlineLevel="1">
      <c r="C36" s="412"/>
      <c r="E36" s="52" t="s">
        <v>208</v>
      </c>
      <c r="F36" s="311">
        <v>0</v>
      </c>
      <c r="G36" s="312">
        <v>0</v>
      </c>
      <c r="H36" s="312">
        <v>0</v>
      </c>
      <c r="I36" s="312">
        <v>0</v>
      </c>
      <c r="J36" s="312">
        <v>4197.2007074999992</v>
      </c>
      <c r="K36" s="312">
        <v>4547.2007074999992</v>
      </c>
      <c r="L36" s="312">
        <v>4647.2007074999992</v>
      </c>
      <c r="M36" s="312">
        <v>4647.2007074999992</v>
      </c>
      <c r="N36" s="312">
        <v>4647.2007074999992</v>
      </c>
      <c r="O36" s="312">
        <v>4647.2007074999992</v>
      </c>
      <c r="P36" s="312">
        <v>4647.2007074999992</v>
      </c>
      <c r="Q36" s="312">
        <v>4647.2007074999992</v>
      </c>
      <c r="R36" s="312">
        <v>4647.2007074999992</v>
      </c>
      <c r="S36" s="312">
        <v>4647.2007074999992</v>
      </c>
      <c r="T36" s="312">
        <v>4647.2007074999992</v>
      </c>
      <c r="U36" s="312">
        <v>4647.2007074999992</v>
      </c>
      <c r="V36" s="312">
        <v>4647.2007074999992</v>
      </c>
      <c r="W36" s="312">
        <v>4647.2007074999992</v>
      </c>
      <c r="X36" s="312">
        <v>4647.2007074999992</v>
      </c>
      <c r="Y36" s="312">
        <v>4647.2007074999992</v>
      </c>
      <c r="Z36" s="312">
        <v>4647.2007074999992</v>
      </c>
      <c r="AA36" s="312">
        <v>4647.2007074999992</v>
      </c>
      <c r="AB36" s="312">
        <v>4647.2007074999992</v>
      </c>
      <c r="AC36" s="312">
        <v>4647.2007074999992</v>
      </c>
      <c r="AD36" s="312">
        <v>4647.2007074999992</v>
      </c>
      <c r="AE36" s="312">
        <v>4647.2007074999992</v>
      </c>
      <c r="AF36" s="312">
        <v>4647.2007074999992</v>
      </c>
      <c r="AG36" s="312">
        <v>4647.2007074999992</v>
      </c>
      <c r="AH36" s="312">
        <v>4647.2007074999992</v>
      </c>
      <c r="AI36" s="312">
        <v>4647.2007074999992</v>
      </c>
      <c r="AJ36" s="312">
        <v>4647.2007074999992</v>
      </c>
      <c r="AK36" s="312">
        <v>4647.2007074999992</v>
      </c>
      <c r="AL36" s="312">
        <v>750</v>
      </c>
    </row>
    <row r="37" spans="1:40" ht="3.75" customHeight="1" outlineLevel="1">
      <c r="A37" s="18"/>
      <c r="E37" s="53"/>
      <c r="F37" s="313"/>
      <c r="G37" s="314"/>
      <c r="H37" s="314"/>
      <c r="I37" s="314"/>
      <c r="J37" s="314"/>
      <c r="K37" s="314"/>
      <c r="L37" s="314"/>
      <c r="M37" s="314"/>
      <c r="N37" s="314"/>
      <c r="O37" s="314"/>
      <c r="P37" s="314"/>
      <c r="Q37" s="314"/>
      <c r="R37" s="314"/>
      <c r="S37" s="314"/>
      <c r="T37" s="314"/>
      <c r="U37" s="314"/>
      <c r="V37" s="314"/>
      <c r="W37" s="314"/>
      <c r="X37" s="314"/>
      <c r="Y37" s="314"/>
      <c r="Z37" s="314"/>
      <c r="AA37" s="314"/>
      <c r="AB37" s="314"/>
      <c r="AC37" s="314"/>
      <c r="AD37" s="314"/>
      <c r="AE37" s="314"/>
      <c r="AF37" s="314"/>
      <c r="AG37" s="314"/>
      <c r="AH37" s="314"/>
      <c r="AI37" s="314"/>
      <c r="AJ37" s="314"/>
      <c r="AK37" s="314"/>
      <c r="AL37" s="314"/>
    </row>
    <row r="38" spans="1:40" outlineLevel="1">
      <c r="C38" s="51"/>
      <c r="E38" s="53" t="s">
        <v>209</v>
      </c>
      <c r="F38" s="313">
        <v>0</v>
      </c>
      <c r="G38" s="314">
        <v>0</v>
      </c>
      <c r="H38" s="314">
        <v>0</v>
      </c>
      <c r="I38" s="314">
        <v>20648.004716666666</v>
      </c>
      <c r="J38" s="314">
        <v>25594.48476383333</v>
      </c>
      <c r="K38" s="314">
        <v>28230.964810999998</v>
      </c>
      <c r="L38" s="314">
        <v>29207.444858166666</v>
      </c>
      <c r="M38" s="314">
        <v>29517.258238666669</v>
      </c>
      <c r="N38" s="314">
        <v>29827.071619166669</v>
      </c>
      <c r="O38" s="314">
        <v>30136.884999666669</v>
      </c>
      <c r="P38" s="314">
        <v>30446.698380166668</v>
      </c>
      <c r="Q38" s="314">
        <v>30756.511760666668</v>
      </c>
      <c r="R38" s="314">
        <v>31066.325141166668</v>
      </c>
      <c r="S38" s="314">
        <v>31376.138521666668</v>
      </c>
      <c r="T38" s="314">
        <v>31685.951902166667</v>
      </c>
      <c r="U38" s="314">
        <v>31995.765282666667</v>
      </c>
      <c r="V38" s="314">
        <v>32305.578663166667</v>
      </c>
      <c r="W38" s="314">
        <v>32615.392043666667</v>
      </c>
      <c r="X38" s="314">
        <v>14943.867374166664</v>
      </c>
      <c r="Y38" s="314">
        <v>10307.200707499998</v>
      </c>
      <c r="Z38" s="314">
        <v>7980.5340408333313</v>
      </c>
      <c r="AA38" s="314">
        <v>7313.8673741666644</v>
      </c>
      <c r="AB38" s="314">
        <v>7313.8673741666644</v>
      </c>
      <c r="AC38" s="314">
        <v>7313.8673741666644</v>
      </c>
      <c r="AD38" s="314">
        <v>7313.8673741666644</v>
      </c>
      <c r="AE38" s="314">
        <v>7313.8673741666644</v>
      </c>
      <c r="AF38" s="314">
        <v>7313.8673741666644</v>
      </c>
      <c r="AG38" s="314">
        <v>7313.8673741666644</v>
      </c>
      <c r="AH38" s="314">
        <v>7313.8673741666644</v>
      </c>
      <c r="AI38" s="314">
        <v>7313.8673741666644</v>
      </c>
      <c r="AJ38" s="314">
        <v>7313.8673741666644</v>
      </c>
      <c r="AK38" s="314">
        <v>7313.8673741666644</v>
      </c>
      <c r="AL38" s="314">
        <v>7054.0539936666646</v>
      </c>
    </row>
    <row r="39" spans="1:40" outlineLevel="1">
      <c r="C39" s="51"/>
      <c r="E39" s="53" t="s">
        <v>210</v>
      </c>
      <c r="F39" s="313"/>
      <c r="G39" s="314"/>
      <c r="H39" s="314"/>
      <c r="I39" s="314">
        <v>20648.004716666666</v>
      </c>
      <c r="J39" s="314">
        <v>46242.489480499993</v>
      </c>
      <c r="K39" s="314">
        <v>74473.454291499991</v>
      </c>
      <c r="L39" s="314">
        <v>103680.89914966666</v>
      </c>
      <c r="M39" s="314">
        <v>133198.15738833332</v>
      </c>
      <c r="N39" s="314">
        <v>163025.22900749999</v>
      </c>
      <c r="O39" s="314">
        <v>193162.11400716665</v>
      </c>
      <c r="P39" s="314">
        <v>223608.81238733331</v>
      </c>
      <c r="Q39" s="314">
        <v>254365.32414799999</v>
      </c>
      <c r="R39" s="314">
        <v>285431.64928916667</v>
      </c>
      <c r="S39" s="314">
        <v>316807.78781083331</v>
      </c>
      <c r="T39" s="314">
        <v>348493.73971299996</v>
      </c>
      <c r="U39" s="314">
        <v>380489.50499566662</v>
      </c>
      <c r="V39" s="314">
        <v>412795.08365883329</v>
      </c>
      <c r="W39" s="314">
        <v>445410.47570249997</v>
      </c>
      <c r="X39" s="314">
        <v>460354.34307666664</v>
      </c>
      <c r="Y39" s="314">
        <v>470661.54378416663</v>
      </c>
      <c r="Z39" s="314">
        <v>478642.07782499999</v>
      </c>
      <c r="AA39" s="314">
        <v>485955.94519916666</v>
      </c>
      <c r="AB39" s="314">
        <v>493269.81257333333</v>
      </c>
      <c r="AC39" s="314">
        <v>500583.6799475</v>
      </c>
      <c r="AD39" s="314">
        <v>507897.54732166667</v>
      </c>
      <c r="AE39" s="314">
        <v>515211.41469583334</v>
      </c>
      <c r="AF39" s="314">
        <v>522525.28207000002</v>
      </c>
      <c r="AG39" s="314">
        <v>529839.14944416669</v>
      </c>
      <c r="AH39" s="314">
        <v>537153.0168183333</v>
      </c>
      <c r="AI39" s="314">
        <v>544466.88419249991</v>
      </c>
      <c r="AJ39" s="314">
        <v>551780.75156666653</v>
      </c>
      <c r="AK39" s="314">
        <v>559094.61894083314</v>
      </c>
      <c r="AL39" s="314">
        <v>566148.6729344998</v>
      </c>
    </row>
    <row r="40" spans="1:40" outlineLevel="1">
      <c r="C40" s="51"/>
      <c r="E40" s="54" t="s">
        <v>211</v>
      </c>
      <c r="F40" s="315"/>
      <c r="G40" s="316"/>
      <c r="H40" s="316"/>
      <c r="I40" s="316">
        <v>329072.06603333331</v>
      </c>
      <c r="J40" s="316">
        <v>377674.78197699995</v>
      </c>
      <c r="K40" s="316">
        <v>384793.81716599996</v>
      </c>
      <c r="L40" s="316">
        <v>365686.37230783328</v>
      </c>
      <c r="M40" s="316">
        <v>336169.11406916659</v>
      </c>
      <c r="N40" s="316">
        <v>306342.04244999995</v>
      </c>
      <c r="O40" s="316">
        <v>276205.1574503333</v>
      </c>
      <c r="P40" s="316">
        <v>245758.45907016663</v>
      </c>
      <c r="Q40" s="316">
        <v>215001.94730949996</v>
      </c>
      <c r="R40" s="316">
        <v>183935.62216833327</v>
      </c>
      <c r="S40" s="316">
        <v>152559.48364666663</v>
      </c>
      <c r="T40" s="316">
        <v>120873.53174449998</v>
      </c>
      <c r="U40" s="316">
        <v>88877.766461833322</v>
      </c>
      <c r="V40" s="316">
        <v>56572.187798666651</v>
      </c>
      <c r="W40" s="316">
        <v>23956.79575499997</v>
      </c>
      <c r="X40" s="316">
        <v>9012.9283808332984</v>
      </c>
      <c r="Y40" s="316">
        <v>0</v>
      </c>
      <c r="Z40" s="316">
        <v>0</v>
      </c>
      <c r="AA40" s="316">
        <v>0</v>
      </c>
      <c r="AB40" s="316">
        <v>0</v>
      </c>
      <c r="AC40" s="316">
        <v>0</v>
      </c>
      <c r="AD40" s="316">
        <v>0</v>
      </c>
      <c r="AE40" s="316">
        <v>0</v>
      </c>
      <c r="AF40" s="316">
        <v>0</v>
      </c>
      <c r="AG40" s="316">
        <v>0</v>
      </c>
      <c r="AH40" s="316">
        <v>0</v>
      </c>
      <c r="AI40" s="316">
        <v>0</v>
      </c>
      <c r="AJ40" s="316">
        <v>0</v>
      </c>
      <c r="AK40" s="316">
        <v>0</v>
      </c>
      <c r="AL40" s="316">
        <v>0</v>
      </c>
    </row>
    <row r="41" spans="1:40" ht="3.75" customHeight="1" outlineLevel="1">
      <c r="E41" s="55"/>
      <c r="F41" s="56"/>
      <c r="G41" s="57"/>
      <c r="H41" s="57"/>
      <c r="I41" s="57"/>
      <c r="J41" s="58"/>
      <c r="K41" s="57"/>
      <c r="L41" s="58"/>
      <c r="M41" s="57"/>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row>
    <row r="42" spans="1:40" s="60" customFormat="1" outlineLevel="1">
      <c r="A42" s="59"/>
      <c r="C42" s="413"/>
      <c r="E42" s="52" t="s">
        <v>477</v>
      </c>
      <c r="F42" s="311"/>
      <c r="G42" s="317"/>
      <c r="H42" s="312"/>
      <c r="I42" s="318"/>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N42" s="59"/>
    </row>
    <row r="43" spans="1:40" outlineLevel="1">
      <c r="C43" s="411"/>
      <c r="E43" s="78" t="s">
        <v>478</v>
      </c>
      <c r="F43" s="311"/>
      <c r="G43" s="319"/>
      <c r="H43" s="312"/>
      <c r="I43" s="320">
        <v>30</v>
      </c>
      <c r="J43" s="320">
        <v>25</v>
      </c>
      <c r="K43" s="320">
        <v>15</v>
      </c>
      <c r="L43" s="320">
        <v>15</v>
      </c>
      <c r="M43" s="320">
        <v>15</v>
      </c>
      <c r="N43" s="320">
        <v>15</v>
      </c>
      <c r="O43" s="320">
        <v>15</v>
      </c>
      <c r="P43" s="320">
        <v>15</v>
      </c>
      <c r="Q43" s="320">
        <v>15</v>
      </c>
      <c r="R43" s="320">
        <v>15</v>
      </c>
      <c r="S43" s="320">
        <v>15</v>
      </c>
      <c r="T43" s="320">
        <v>15</v>
      </c>
      <c r="U43" s="320">
        <v>15</v>
      </c>
      <c r="V43" s="320">
        <v>15</v>
      </c>
      <c r="W43" s="320">
        <v>15</v>
      </c>
      <c r="X43" s="320">
        <v>15</v>
      </c>
      <c r="Y43" s="320">
        <v>15</v>
      </c>
      <c r="Z43" s="320">
        <v>15</v>
      </c>
      <c r="AA43" s="320">
        <v>15</v>
      </c>
      <c r="AB43" s="320">
        <v>15</v>
      </c>
      <c r="AC43" s="320">
        <v>15</v>
      </c>
      <c r="AD43" s="320">
        <v>15</v>
      </c>
      <c r="AE43" s="320">
        <v>15</v>
      </c>
      <c r="AF43" s="320">
        <v>15</v>
      </c>
      <c r="AG43" s="320">
        <v>15</v>
      </c>
      <c r="AH43" s="320">
        <v>15</v>
      </c>
      <c r="AI43" s="320">
        <v>15</v>
      </c>
      <c r="AJ43" s="320">
        <v>15</v>
      </c>
      <c r="AK43" s="320">
        <v>15</v>
      </c>
      <c r="AL43" s="320">
        <v>15</v>
      </c>
    </row>
    <row r="44" spans="1:40" outlineLevel="1">
      <c r="C44" s="411"/>
      <c r="E44" s="281" t="s">
        <v>67</v>
      </c>
      <c r="F44" s="321"/>
      <c r="G44" s="322"/>
      <c r="H44" s="323"/>
      <c r="I44" s="324">
        <v>10</v>
      </c>
      <c r="J44" s="324">
        <v>10</v>
      </c>
      <c r="K44" s="324">
        <v>10</v>
      </c>
      <c r="L44" s="324">
        <v>10</v>
      </c>
      <c r="M44" s="324">
        <v>10</v>
      </c>
      <c r="N44" s="324">
        <v>10</v>
      </c>
      <c r="O44" s="324">
        <v>10</v>
      </c>
      <c r="P44" s="324">
        <v>10</v>
      </c>
      <c r="Q44" s="324">
        <v>10</v>
      </c>
      <c r="R44" s="324">
        <v>10</v>
      </c>
      <c r="S44" s="324">
        <v>10</v>
      </c>
      <c r="T44" s="324">
        <v>10</v>
      </c>
      <c r="U44" s="324">
        <v>10</v>
      </c>
      <c r="V44" s="324">
        <v>10</v>
      </c>
      <c r="W44" s="324">
        <v>10</v>
      </c>
      <c r="X44" s="324">
        <v>10</v>
      </c>
      <c r="Y44" s="324">
        <v>10</v>
      </c>
      <c r="Z44" s="324">
        <v>10</v>
      </c>
      <c r="AA44" s="324">
        <v>10</v>
      </c>
      <c r="AB44" s="324">
        <v>10</v>
      </c>
      <c r="AC44" s="324">
        <v>10</v>
      </c>
      <c r="AD44" s="324">
        <v>10</v>
      </c>
      <c r="AE44" s="324">
        <v>10</v>
      </c>
      <c r="AF44" s="324">
        <v>10</v>
      </c>
      <c r="AG44" s="324">
        <v>10</v>
      </c>
      <c r="AH44" s="324">
        <v>10</v>
      </c>
      <c r="AI44" s="324">
        <v>10</v>
      </c>
      <c r="AJ44" s="324">
        <v>10</v>
      </c>
      <c r="AK44" s="324">
        <v>10</v>
      </c>
      <c r="AL44" s="324">
        <v>10</v>
      </c>
    </row>
    <row r="45" spans="1:40" ht="3.75" customHeight="1" outlineLevel="1">
      <c r="E45" s="55"/>
      <c r="F45" s="56"/>
      <c r="G45" s="57"/>
      <c r="H45" s="57"/>
      <c r="I45" s="57"/>
      <c r="J45" s="58"/>
      <c r="K45" s="57"/>
      <c r="L45" s="58"/>
      <c r="M45" s="57"/>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row>
    <row r="46" spans="1:40" s="60" customFormat="1" outlineLevel="1">
      <c r="A46" s="59"/>
      <c r="C46" s="247"/>
      <c r="E46" s="52" t="s">
        <v>479</v>
      </c>
      <c r="F46" s="311"/>
      <c r="G46" s="317"/>
      <c r="H46" s="312"/>
      <c r="I46" s="318"/>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N46" s="59"/>
    </row>
    <row r="47" spans="1:40" outlineLevel="1">
      <c r="C47" s="51"/>
      <c r="E47" s="53" t="s">
        <v>405</v>
      </c>
      <c r="F47" s="311"/>
      <c r="G47" s="319"/>
      <c r="H47" s="312"/>
      <c r="I47" s="320">
        <v>2519.2859999999996</v>
      </c>
      <c r="J47" s="320">
        <v>7197.9599999999991</v>
      </c>
      <c r="K47" s="320">
        <v>10197.959999999999</v>
      </c>
      <c r="L47" s="320">
        <v>12197.96</v>
      </c>
      <c r="M47" s="320">
        <v>12197.96</v>
      </c>
      <c r="N47" s="320">
        <v>12197.96</v>
      </c>
      <c r="O47" s="320">
        <v>12197.96</v>
      </c>
      <c r="P47" s="320">
        <v>12197.96</v>
      </c>
      <c r="Q47" s="320">
        <v>12197.96</v>
      </c>
      <c r="R47" s="320">
        <v>12197.96</v>
      </c>
      <c r="S47" s="320">
        <v>12197.96</v>
      </c>
      <c r="T47" s="320">
        <v>12197.96</v>
      </c>
      <c r="U47" s="320">
        <v>12197.96</v>
      </c>
      <c r="V47" s="320">
        <v>12197.96</v>
      </c>
      <c r="W47" s="320">
        <v>12197.96</v>
      </c>
      <c r="X47" s="320">
        <v>12197.96</v>
      </c>
      <c r="Y47" s="320">
        <v>12197.96</v>
      </c>
      <c r="Z47" s="320">
        <v>12197.96</v>
      </c>
      <c r="AA47" s="320">
        <v>12197.96</v>
      </c>
      <c r="AB47" s="320">
        <v>12197.96</v>
      </c>
      <c r="AC47" s="320">
        <v>12197.96</v>
      </c>
      <c r="AD47" s="320">
        <v>12197.96</v>
      </c>
      <c r="AE47" s="320">
        <v>12197.96</v>
      </c>
      <c r="AF47" s="320">
        <v>12197.96</v>
      </c>
      <c r="AG47" s="320">
        <v>12197.96</v>
      </c>
      <c r="AH47" s="320">
        <v>12197.96</v>
      </c>
      <c r="AI47" s="320">
        <v>12197.96</v>
      </c>
      <c r="AJ47" s="320">
        <v>12197.96</v>
      </c>
      <c r="AK47" s="320">
        <v>12197.96</v>
      </c>
      <c r="AL47" s="320">
        <v>12197.96</v>
      </c>
    </row>
    <row r="48" spans="1:40" outlineLevel="1">
      <c r="C48" s="51"/>
      <c r="E48" s="78" t="s">
        <v>406</v>
      </c>
      <c r="F48" s="311"/>
      <c r="G48" s="319"/>
      <c r="H48" s="312"/>
      <c r="I48" s="320">
        <v>629.8214999999999</v>
      </c>
      <c r="J48" s="320">
        <v>1799.4899999999998</v>
      </c>
      <c r="K48" s="320">
        <v>2549.4899999999998</v>
      </c>
      <c r="L48" s="320">
        <v>3049.49</v>
      </c>
      <c r="M48" s="320">
        <v>3049.49</v>
      </c>
      <c r="N48" s="320">
        <v>3049.49</v>
      </c>
      <c r="O48" s="320">
        <v>3049.49</v>
      </c>
      <c r="P48" s="320">
        <v>3049.49</v>
      </c>
      <c r="Q48" s="320">
        <v>3049.49</v>
      </c>
      <c r="R48" s="320">
        <v>3049.49</v>
      </c>
      <c r="S48" s="320">
        <v>3049.49</v>
      </c>
      <c r="T48" s="320">
        <v>3049.49</v>
      </c>
      <c r="U48" s="320">
        <v>3049.49</v>
      </c>
      <c r="V48" s="320">
        <v>3049.49</v>
      </c>
      <c r="W48" s="320">
        <v>3049.49</v>
      </c>
      <c r="X48" s="320">
        <v>3049.49</v>
      </c>
      <c r="Y48" s="320">
        <v>3049.49</v>
      </c>
      <c r="Z48" s="320">
        <v>3049.49</v>
      </c>
      <c r="AA48" s="320">
        <v>3049.49</v>
      </c>
      <c r="AB48" s="320">
        <v>3049.49</v>
      </c>
      <c r="AC48" s="320">
        <v>3049.49</v>
      </c>
      <c r="AD48" s="320">
        <v>3049.49</v>
      </c>
      <c r="AE48" s="320">
        <v>3049.49</v>
      </c>
      <c r="AF48" s="320">
        <v>3049.49</v>
      </c>
      <c r="AG48" s="320">
        <v>3049.49</v>
      </c>
      <c r="AH48" s="320">
        <v>3049.49</v>
      </c>
      <c r="AI48" s="320">
        <v>3049.49</v>
      </c>
      <c r="AJ48" s="320">
        <v>3049.49</v>
      </c>
      <c r="AK48" s="320">
        <v>3049.49</v>
      </c>
      <c r="AL48" s="320">
        <v>3049.49</v>
      </c>
    </row>
    <row r="49" spans="1:40" outlineLevel="1">
      <c r="C49" s="51"/>
      <c r="E49" s="78" t="s">
        <v>407</v>
      </c>
      <c r="F49" s="311"/>
      <c r="G49" s="319"/>
      <c r="H49" s="312"/>
      <c r="I49" s="320">
        <v>1889.4644999999996</v>
      </c>
      <c r="J49" s="320">
        <v>5398.4699999999993</v>
      </c>
      <c r="K49" s="320">
        <v>7648.4699999999993</v>
      </c>
      <c r="L49" s="320">
        <v>9148.4699999999993</v>
      </c>
      <c r="M49" s="320">
        <v>9148.4699999999993</v>
      </c>
      <c r="N49" s="320">
        <v>9148.4699999999993</v>
      </c>
      <c r="O49" s="320">
        <v>9148.4699999999993</v>
      </c>
      <c r="P49" s="320">
        <v>9148.4699999999993</v>
      </c>
      <c r="Q49" s="320">
        <v>9148.4699999999993</v>
      </c>
      <c r="R49" s="320">
        <v>9148.4699999999993</v>
      </c>
      <c r="S49" s="320">
        <v>9148.4699999999993</v>
      </c>
      <c r="T49" s="320">
        <v>9148.4699999999993</v>
      </c>
      <c r="U49" s="320">
        <v>9148.4699999999993</v>
      </c>
      <c r="V49" s="320">
        <v>9148.4699999999993</v>
      </c>
      <c r="W49" s="320">
        <v>9148.4699999999993</v>
      </c>
      <c r="X49" s="320">
        <v>9148.4699999999993</v>
      </c>
      <c r="Y49" s="320">
        <v>9148.4699999999993</v>
      </c>
      <c r="Z49" s="320">
        <v>9148.4699999999993</v>
      </c>
      <c r="AA49" s="320">
        <v>9148.4699999999993</v>
      </c>
      <c r="AB49" s="320">
        <v>9148.4699999999993</v>
      </c>
      <c r="AC49" s="320">
        <v>9148.4699999999993</v>
      </c>
      <c r="AD49" s="320">
        <v>9148.4699999999993</v>
      </c>
      <c r="AE49" s="320">
        <v>9148.4699999999993</v>
      </c>
      <c r="AF49" s="320">
        <v>9148.4699999999993</v>
      </c>
      <c r="AG49" s="320">
        <v>9148.4699999999993</v>
      </c>
      <c r="AH49" s="320">
        <v>9148.4699999999993</v>
      </c>
      <c r="AI49" s="320">
        <v>9148.4699999999993</v>
      </c>
      <c r="AJ49" s="320">
        <v>9148.4699999999993</v>
      </c>
      <c r="AK49" s="320">
        <v>9148.4699999999993</v>
      </c>
      <c r="AL49" s="320">
        <v>9148.4699999999993</v>
      </c>
    </row>
    <row r="50" spans="1:40" outlineLevel="1">
      <c r="C50" s="51"/>
      <c r="E50" s="53" t="s">
        <v>212</v>
      </c>
      <c r="F50" s="311"/>
      <c r="G50" s="320"/>
      <c r="H50" s="312"/>
      <c r="I50" s="320">
        <v>4282.7861999999996</v>
      </c>
      <c r="J50" s="320">
        <v>12236.531999999997</v>
      </c>
      <c r="K50" s="320">
        <v>17336.531999999999</v>
      </c>
      <c r="L50" s="320">
        <v>20736.531999999999</v>
      </c>
      <c r="M50" s="320">
        <v>20736.531999999999</v>
      </c>
      <c r="N50" s="320">
        <v>20736.531999999999</v>
      </c>
      <c r="O50" s="320">
        <v>20736.531999999999</v>
      </c>
      <c r="P50" s="320">
        <v>20736.531999999999</v>
      </c>
      <c r="Q50" s="320">
        <v>20736.531999999999</v>
      </c>
      <c r="R50" s="320">
        <v>20736.531999999999</v>
      </c>
      <c r="S50" s="320">
        <v>20736.531999999999</v>
      </c>
      <c r="T50" s="320">
        <v>20736.531999999999</v>
      </c>
      <c r="U50" s="320">
        <v>20736.531999999999</v>
      </c>
      <c r="V50" s="320">
        <v>20736.531999999999</v>
      </c>
      <c r="W50" s="320">
        <v>20736.531999999999</v>
      </c>
      <c r="X50" s="320">
        <v>20736.531999999999</v>
      </c>
      <c r="Y50" s="320">
        <v>20736.531999999999</v>
      </c>
      <c r="Z50" s="320">
        <v>20736.531999999999</v>
      </c>
      <c r="AA50" s="320">
        <v>20736.531999999999</v>
      </c>
      <c r="AB50" s="320">
        <v>20736.531999999999</v>
      </c>
      <c r="AC50" s="320">
        <v>20736.531999999999</v>
      </c>
      <c r="AD50" s="320">
        <v>20736.531999999999</v>
      </c>
      <c r="AE50" s="320">
        <v>20736.531999999999</v>
      </c>
      <c r="AF50" s="320">
        <v>20736.531999999999</v>
      </c>
      <c r="AG50" s="320">
        <v>20736.531999999999</v>
      </c>
      <c r="AH50" s="320">
        <v>20736.531999999999</v>
      </c>
      <c r="AI50" s="320">
        <v>20736.531999999999</v>
      </c>
      <c r="AJ50" s="320">
        <v>20736.531999999999</v>
      </c>
      <c r="AK50" s="320">
        <v>20736.531999999999</v>
      </c>
      <c r="AL50" s="320">
        <v>20736.531999999999</v>
      </c>
    </row>
    <row r="51" spans="1:40" outlineLevel="1">
      <c r="C51" s="51"/>
      <c r="E51" s="53" t="s">
        <v>480</v>
      </c>
      <c r="F51" s="311"/>
      <c r="G51" s="320"/>
      <c r="H51" s="312"/>
      <c r="I51" s="320"/>
      <c r="J51" s="320"/>
      <c r="K51" s="320">
        <v>10</v>
      </c>
      <c r="L51" s="320">
        <v>15</v>
      </c>
      <c r="M51" s="320">
        <v>22.5</v>
      </c>
      <c r="N51" s="320">
        <v>33.75</v>
      </c>
      <c r="O51" s="320">
        <v>33.75</v>
      </c>
      <c r="P51" s="320">
        <v>33.75</v>
      </c>
      <c r="Q51" s="320">
        <v>33.75</v>
      </c>
      <c r="R51" s="320">
        <v>33.75</v>
      </c>
      <c r="S51" s="320">
        <v>33.75</v>
      </c>
      <c r="T51" s="320">
        <v>33.75</v>
      </c>
      <c r="U51" s="320">
        <v>33.75</v>
      </c>
      <c r="V51" s="320">
        <v>33.75</v>
      </c>
      <c r="W51" s="320">
        <v>33.75</v>
      </c>
      <c r="X51" s="320">
        <v>33.75</v>
      </c>
      <c r="Y51" s="320">
        <v>33.75</v>
      </c>
      <c r="Z51" s="320">
        <v>33.75</v>
      </c>
      <c r="AA51" s="320">
        <v>33.75</v>
      </c>
      <c r="AB51" s="320">
        <v>33.75</v>
      </c>
      <c r="AC51" s="320">
        <v>33.75</v>
      </c>
      <c r="AD51" s="320">
        <v>33.75</v>
      </c>
      <c r="AE51" s="320">
        <v>33.75</v>
      </c>
      <c r="AF51" s="320">
        <v>33.75</v>
      </c>
      <c r="AG51" s="320">
        <v>33.75</v>
      </c>
      <c r="AH51" s="320">
        <v>33.75</v>
      </c>
      <c r="AI51" s="320">
        <v>33.75</v>
      </c>
      <c r="AJ51" s="320">
        <v>33.75</v>
      </c>
      <c r="AK51" s="320">
        <v>33.75</v>
      </c>
      <c r="AL51" s="320">
        <v>33.75</v>
      </c>
    </row>
    <row r="52" spans="1:40" outlineLevel="1">
      <c r="C52" s="51"/>
      <c r="E52" s="53" t="s">
        <v>213</v>
      </c>
      <c r="F52" s="311"/>
      <c r="G52" s="320"/>
      <c r="H52" s="312"/>
      <c r="I52" s="320"/>
      <c r="J52" s="320"/>
      <c r="K52" s="320">
        <v>400</v>
      </c>
      <c r="L52" s="320">
        <v>750</v>
      </c>
      <c r="M52" s="320">
        <v>1000</v>
      </c>
      <c r="N52" s="320">
        <v>1050</v>
      </c>
      <c r="O52" s="320">
        <v>1102.5</v>
      </c>
      <c r="P52" s="320">
        <v>1157.625</v>
      </c>
      <c r="Q52" s="320">
        <v>1215.5062500000001</v>
      </c>
      <c r="R52" s="320">
        <v>1215.5062500000001</v>
      </c>
      <c r="S52" s="320">
        <v>1215.5062500000001</v>
      </c>
      <c r="T52" s="320">
        <v>1215.5062500000001</v>
      </c>
      <c r="U52" s="320">
        <v>1215.5062500000001</v>
      </c>
      <c r="V52" s="320">
        <v>1215.5062500000001</v>
      </c>
      <c r="W52" s="320">
        <v>1215.5062500000001</v>
      </c>
      <c r="X52" s="320">
        <v>1215.5062500000001</v>
      </c>
      <c r="Y52" s="320">
        <v>1215.5062500000001</v>
      </c>
      <c r="Z52" s="320">
        <v>1215.5062500000001</v>
      </c>
      <c r="AA52" s="320">
        <v>1215.5062500000001</v>
      </c>
      <c r="AB52" s="320">
        <v>1215.5062500000001</v>
      </c>
      <c r="AC52" s="320">
        <v>1215.5062500000001</v>
      </c>
      <c r="AD52" s="320">
        <v>1215.5062500000001</v>
      </c>
      <c r="AE52" s="320">
        <v>1215.5062500000001</v>
      </c>
      <c r="AF52" s="320">
        <v>1215.5062500000001</v>
      </c>
      <c r="AG52" s="320">
        <v>1215.5062500000001</v>
      </c>
      <c r="AH52" s="320">
        <v>1215.5062500000001</v>
      </c>
      <c r="AI52" s="320">
        <v>1215.5062500000001</v>
      </c>
      <c r="AJ52" s="320">
        <v>1215.5062500000001</v>
      </c>
      <c r="AK52" s="320">
        <v>1215.5062500000001</v>
      </c>
      <c r="AL52" s="320">
        <v>1215.5062500000001</v>
      </c>
    </row>
    <row r="53" spans="1:40" s="60" customFormat="1" outlineLevel="1">
      <c r="A53" s="59"/>
      <c r="C53" s="247"/>
      <c r="E53" s="54" t="s">
        <v>214</v>
      </c>
      <c r="F53" s="245"/>
      <c r="G53" s="246"/>
      <c r="H53" s="246"/>
      <c r="I53" s="246">
        <v>6802.0721999999987</v>
      </c>
      <c r="J53" s="246">
        <v>19434.491999999998</v>
      </c>
      <c r="K53" s="246">
        <v>27944.491999999998</v>
      </c>
      <c r="L53" s="246">
        <v>33699.491999999998</v>
      </c>
      <c r="M53" s="246">
        <v>33956.991999999998</v>
      </c>
      <c r="N53" s="246">
        <v>34018.241999999998</v>
      </c>
      <c r="O53" s="246">
        <v>34070.741999999998</v>
      </c>
      <c r="P53" s="246">
        <v>34125.866999999998</v>
      </c>
      <c r="Q53" s="246">
        <v>34183.748249999997</v>
      </c>
      <c r="R53" s="246">
        <v>34183.748249999997</v>
      </c>
      <c r="S53" s="246">
        <v>34183.748249999997</v>
      </c>
      <c r="T53" s="246">
        <v>34183.748249999997</v>
      </c>
      <c r="U53" s="246">
        <v>34183.748249999997</v>
      </c>
      <c r="V53" s="246">
        <v>34183.748249999997</v>
      </c>
      <c r="W53" s="246">
        <v>34183.748249999997</v>
      </c>
      <c r="X53" s="246">
        <v>34183.748249999997</v>
      </c>
      <c r="Y53" s="246">
        <v>34183.748249999997</v>
      </c>
      <c r="Z53" s="246">
        <v>34183.748249999997</v>
      </c>
      <c r="AA53" s="246">
        <v>34183.748249999997</v>
      </c>
      <c r="AB53" s="246">
        <v>34183.748249999997</v>
      </c>
      <c r="AC53" s="246">
        <v>34183.748249999997</v>
      </c>
      <c r="AD53" s="246">
        <v>34183.748249999997</v>
      </c>
      <c r="AE53" s="246">
        <v>34183.748249999997</v>
      </c>
      <c r="AF53" s="246">
        <v>34183.748249999997</v>
      </c>
      <c r="AG53" s="246">
        <v>34183.748249999997</v>
      </c>
      <c r="AH53" s="246">
        <v>34183.748249999997</v>
      </c>
      <c r="AI53" s="246">
        <v>34183.748249999997</v>
      </c>
      <c r="AJ53" s="246">
        <v>34183.748249999997</v>
      </c>
      <c r="AK53" s="246">
        <v>34183.748249999997</v>
      </c>
      <c r="AL53" s="246">
        <v>34183.748249999997</v>
      </c>
      <c r="AN53" s="31"/>
    </row>
    <row r="54" spans="1:40" ht="3.75" customHeight="1" outlineLevel="1">
      <c r="C54" s="247"/>
      <c r="E54" s="55"/>
      <c r="F54" s="56"/>
      <c r="G54" s="57"/>
      <c r="H54" s="57"/>
      <c r="I54" s="57"/>
      <c r="J54" s="58"/>
      <c r="K54" s="57"/>
      <c r="L54" s="58"/>
      <c r="M54" s="57"/>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row>
    <row r="55" spans="1:40" s="60" customFormat="1" outlineLevel="1">
      <c r="A55" s="59"/>
      <c r="C55" s="247"/>
      <c r="E55" s="52" t="s">
        <v>481</v>
      </c>
      <c r="F55" s="311"/>
      <c r="G55" s="317"/>
      <c r="H55" s="312"/>
      <c r="I55" s="318"/>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N55" s="59"/>
    </row>
    <row r="56" spans="1:40" outlineLevel="1">
      <c r="C56" s="51"/>
      <c r="E56" s="53" t="s">
        <v>405</v>
      </c>
      <c r="F56" s="311"/>
      <c r="G56" s="319"/>
      <c r="H56" s="312"/>
      <c r="I56" s="320">
        <v>207.06460273972601</v>
      </c>
      <c r="J56" s="320">
        <v>493.01095890410954</v>
      </c>
      <c r="K56" s="320">
        <v>419.09424657534242</v>
      </c>
      <c r="L56" s="320">
        <v>501.28602739726023</v>
      </c>
      <c r="M56" s="320">
        <v>501.28602739726023</v>
      </c>
      <c r="N56" s="320">
        <v>501.28602739726023</v>
      </c>
      <c r="O56" s="320">
        <v>501.28602739726023</v>
      </c>
      <c r="P56" s="320">
        <v>501.28602739726023</v>
      </c>
      <c r="Q56" s="320">
        <v>501.28602739726023</v>
      </c>
      <c r="R56" s="320">
        <v>501.28602739726023</v>
      </c>
      <c r="S56" s="320">
        <v>501.28602739726023</v>
      </c>
      <c r="T56" s="320">
        <v>501.28602739726023</v>
      </c>
      <c r="U56" s="320">
        <v>501.28602739726023</v>
      </c>
      <c r="V56" s="320">
        <v>501.28602739726023</v>
      </c>
      <c r="W56" s="320">
        <v>501.28602739726023</v>
      </c>
      <c r="X56" s="320">
        <v>501.28602739726023</v>
      </c>
      <c r="Y56" s="320">
        <v>501.28602739726023</v>
      </c>
      <c r="Z56" s="320">
        <v>501.28602739726023</v>
      </c>
      <c r="AA56" s="320">
        <v>501.28602739726023</v>
      </c>
      <c r="AB56" s="320">
        <v>501.28602739726023</v>
      </c>
      <c r="AC56" s="320">
        <v>501.28602739726023</v>
      </c>
      <c r="AD56" s="320">
        <v>501.28602739726023</v>
      </c>
      <c r="AE56" s="320">
        <v>501.28602739726023</v>
      </c>
      <c r="AF56" s="320">
        <v>501.28602739726023</v>
      </c>
      <c r="AG56" s="320">
        <v>501.28602739726023</v>
      </c>
      <c r="AH56" s="320">
        <v>501.28602739726023</v>
      </c>
      <c r="AI56" s="320">
        <v>501.28602739726023</v>
      </c>
      <c r="AJ56" s="320">
        <v>501.28602739726023</v>
      </c>
      <c r="AK56" s="320">
        <v>501.28602739726023</v>
      </c>
      <c r="AL56" s="320">
        <v>501.28602739726023</v>
      </c>
    </row>
    <row r="57" spans="1:40" outlineLevel="1">
      <c r="C57" s="51"/>
      <c r="E57" s="78" t="s">
        <v>406</v>
      </c>
      <c r="F57" s="325"/>
      <c r="G57" s="326"/>
      <c r="H57" s="327"/>
      <c r="I57" s="328">
        <v>51.766150684931503</v>
      </c>
      <c r="J57" s="328">
        <v>123.25273972602737</v>
      </c>
      <c r="K57" s="328">
        <v>104.77356164383561</v>
      </c>
      <c r="L57" s="328">
        <v>125.32150684931506</v>
      </c>
      <c r="M57" s="328">
        <v>125.32150684931506</v>
      </c>
      <c r="N57" s="328">
        <v>125.32150684931506</v>
      </c>
      <c r="O57" s="328">
        <v>125.32150684931506</v>
      </c>
      <c r="P57" s="328">
        <v>125.32150684931506</v>
      </c>
      <c r="Q57" s="328">
        <v>125.32150684931506</v>
      </c>
      <c r="R57" s="328">
        <v>125.32150684931506</v>
      </c>
      <c r="S57" s="328">
        <v>125.32150684931506</v>
      </c>
      <c r="T57" s="328">
        <v>125.32150684931506</v>
      </c>
      <c r="U57" s="328">
        <v>125.32150684931506</v>
      </c>
      <c r="V57" s="328">
        <v>125.32150684931506</v>
      </c>
      <c r="W57" s="328">
        <v>125.32150684931506</v>
      </c>
      <c r="X57" s="328">
        <v>125.32150684931506</v>
      </c>
      <c r="Y57" s="328">
        <v>125.32150684931506</v>
      </c>
      <c r="Z57" s="328">
        <v>125.32150684931506</v>
      </c>
      <c r="AA57" s="328">
        <v>125.32150684931506</v>
      </c>
      <c r="AB57" s="328">
        <v>125.32150684931506</v>
      </c>
      <c r="AC57" s="328">
        <v>125.32150684931506</v>
      </c>
      <c r="AD57" s="328">
        <v>125.32150684931506</v>
      </c>
      <c r="AE57" s="328">
        <v>125.32150684931506</v>
      </c>
      <c r="AF57" s="328">
        <v>125.32150684931506</v>
      </c>
      <c r="AG57" s="328">
        <v>125.32150684931506</v>
      </c>
      <c r="AH57" s="328">
        <v>125.32150684931506</v>
      </c>
      <c r="AI57" s="328">
        <v>125.32150684931506</v>
      </c>
      <c r="AJ57" s="328">
        <v>125.32150684931506</v>
      </c>
      <c r="AK57" s="328">
        <v>125.32150684931506</v>
      </c>
      <c r="AL57" s="328">
        <v>125.32150684931506</v>
      </c>
    </row>
    <row r="58" spans="1:40" outlineLevel="1">
      <c r="C58" s="51"/>
      <c r="E58" s="78" t="s">
        <v>407</v>
      </c>
      <c r="F58" s="325"/>
      <c r="G58" s="326"/>
      <c r="H58" s="327"/>
      <c r="I58" s="328">
        <v>155.2984520547945</v>
      </c>
      <c r="J58" s="328">
        <v>369.75821917808219</v>
      </c>
      <c r="K58" s="328">
        <v>314.32068493150683</v>
      </c>
      <c r="L58" s="328">
        <v>375.9645205479452</v>
      </c>
      <c r="M58" s="328">
        <v>375.9645205479452</v>
      </c>
      <c r="N58" s="328">
        <v>375.9645205479452</v>
      </c>
      <c r="O58" s="328">
        <v>375.9645205479452</v>
      </c>
      <c r="P58" s="328">
        <v>375.9645205479452</v>
      </c>
      <c r="Q58" s="328">
        <v>375.9645205479452</v>
      </c>
      <c r="R58" s="328">
        <v>375.9645205479452</v>
      </c>
      <c r="S58" s="328">
        <v>375.9645205479452</v>
      </c>
      <c r="T58" s="328">
        <v>375.9645205479452</v>
      </c>
      <c r="U58" s="328">
        <v>375.9645205479452</v>
      </c>
      <c r="V58" s="328">
        <v>375.9645205479452</v>
      </c>
      <c r="W58" s="328">
        <v>375.9645205479452</v>
      </c>
      <c r="X58" s="328">
        <v>375.9645205479452</v>
      </c>
      <c r="Y58" s="328">
        <v>375.9645205479452</v>
      </c>
      <c r="Z58" s="328">
        <v>375.9645205479452</v>
      </c>
      <c r="AA58" s="328">
        <v>375.9645205479452</v>
      </c>
      <c r="AB58" s="328">
        <v>375.9645205479452</v>
      </c>
      <c r="AC58" s="328">
        <v>375.9645205479452</v>
      </c>
      <c r="AD58" s="328">
        <v>375.9645205479452</v>
      </c>
      <c r="AE58" s="328">
        <v>375.9645205479452</v>
      </c>
      <c r="AF58" s="328">
        <v>375.9645205479452</v>
      </c>
      <c r="AG58" s="328">
        <v>375.9645205479452</v>
      </c>
      <c r="AH58" s="328">
        <v>375.9645205479452</v>
      </c>
      <c r="AI58" s="328">
        <v>375.9645205479452</v>
      </c>
      <c r="AJ58" s="328">
        <v>375.9645205479452</v>
      </c>
      <c r="AK58" s="328">
        <v>375.9645205479452</v>
      </c>
      <c r="AL58" s="328">
        <v>375.9645205479452</v>
      </c>
    </row>
    <row r="59" spans="1:40" outlineLevel="1">
      <c r="C59" s="51"/>
      <c r="E59" s="53" t="s">
        <v>212</v>
      </c>
      <c r="F59" s="325"/>
      <c r="G59" s="328"/>
      <c r="H59" s="327"/>
      <c r="I59" s="328">
        <v>117.33660821917807</v>
      </c>
      <c r="J59" s="328">
        <v>335.24745205479451</v>
      </c>
      <c r="K59" s="328">
        <v>474.97347945205479</v>
      </c>
      <c r="L59" s="328">
        <v>568.12416438356161</v>
      </c>
      <c r="M59" s="328">
        <v>568.12416438356161</v>
      </c>
      <c r="N59" s="328">
        <v>568.12416438356161</v>
      </c>
      <c r="O59" s="328">
        <v>568.12416438356161</v>
      </c>
      <c r="P59" s="328">
        <v>568.12416438356161</v>
      </c>
      <c r="Q59" s="328">
        <v>568.12416438356161</v>
      </c>
      <c r="R59" s="328">
        <v>568.12416438356161</v>
      </c>
      <c r="S59" s="328">
        <v>568.12416438356161</v>
      </c>
      <c r="T59" s="328">
        <v>568.12416438356161</v>
      </c>
      <c r="U59" s="328">
        <v>568.12416438356161</v>
      </c>
      <c r="V59" s="328">
        <v>568.12416438356161</v>
      </c>
      <c r="W59" s="328">
        <v>568.12416438356161</v>
      </c>
      <c r="X59" s="328">
        <v>568.12416438356161</v>
      </c>
      <c r="Y59" s="328">
        <v>568.12416438356161</v>
      </c>
      <c r="Z59" s="328">
        <v>568.12416438356161</v>
      </c>
      <c r="AA59" s="328">
        <v>568.12416438356161</v>
      </c>
      <c r="AB59" s="328">
        <v>568.12416438356161</v>
      </c>
      <c r="AC59" s="328">
        <v>568.12416438356161</v>
      </c>
      <c r="AD59" s="328">
        <v>568.12416438356161</v>
      </c>
      <c r="AE59" s="328">
        <v>568.12416438356161</v>
      </c>
      <c r="AF59" s="328">
        <v>568.12416438356161</v>
      </c>
      <c r="AG59" s="328">
        <v>568.12416438356161</v>
      </c>
      <c r="AH59" s="328">
        <v>568.12416438356161</v>
      </c>
      <c r="AI59" s="328">
        <v>568.12416438356161</v>
      </c>
      <c r="AJ59" s="328">
        <v>568.12416438356161</v>
      </c>
      <c r="AK59" s="328">
        <v>568.12416438356161</v>
      </c>
      <c r="AL59" s="328">
        <v>568.12416438356161</v>
      </c>
    </row>
    <row r="60" spans="1:40" outlineLevel="1">
      <c r="C60" s="51"/>
      <c r="E60" s="53" t="s">
        <v>480</v>
      </c>
      <c r="F60" s="325"/>
      <c r="G60" s="328"/>
      <c r="H60" s="327"/>
      <c r="I60" s="328">
        <v>0</v>
      </c>
      <c r="J60" s="328">
        <v>0</v>
      </c>
      <c r="K60" s="328">
        <v>0.41095890410958902</v>
      </c>
      <c r="L60" s="328">
        <v>0.61643835616438358</v>
      </c>
      <c r="M60" s="328">
        <v>0.92465753424657526</v>
      </c>
      <c r="N60" s="328">
        <v>1.3869863013698629</v>
      </c>
      <c r="O60" s="328">
        <v>1.3869863013698629</v>
      </c>
      <c r="P60" s="328">
        <v>1.3869863013698629</v>
      </c>
      <c r="Q60" s="328">
        <v>1.3869863013698629</v>
      </c>
      <c r="R60" s="328">
        <v>1.3869863013698629</v>
      </c>
      <c r="S60" s="328">
        <v>1.3869863013698629</v>
      </c>
      <c r="T60" s="328">
        <v>1.3869863013698629</v>
      </c>
      <c r="U60" s="328">
        <v>1.3869863013698629</v>
      </c>
      <c r="V60" s="328">
        <v>1.3869863013698629</v>
      </c>
      <c r="W60" s="328">
        <v>1.3869863013698629</v>
      </c>
      <c r="X60" s="328">
        <v>1.3869863013698629</v>
      </c>
      <c r="Y60" s="328">
        <v>1.3869863013698629</v>
      </c>
      <c r="Z60" s="328">
        <v>1.3869863013698629</v>
      </c>
      <c r="AA60" s="328">
        <v>1.3869863013698629</v>
      </c>
      <c r="AB60" s="328">
        <v>1.3869863013698629</v>
      </c>
      <c r="AC60" s="328">
        <v>1.3869863013698629</v>
      </c>
      <c r="AD60" s="328">
        <v>1.3869863013698629</v>
      </c>
      <c r="AE60" s="328">
        <v>1.3869863013698629</v>
      </c>
      <c r="AF60" s="328">
        <v>1.3869863013698629</v>
      </c>
      <c r="AG60" s="328">
        <v>1.3869863013698629</v>
      </c>
      <c r="AH60" s="328">
        <v>1.3869863013698629</v>
      </c>
      <c r="AI60" s="328">
        <v>1.3869863013698629</v>
      </c>
      <c r="AJ60" s="328">
        <v>1.3869863013698629</v>
      </c>
      <c r="AK60" s="328">
        <v>1.3869863013698629</v>
      </c>
      <c r="AL60" s="328">
        <v>1.3869863013698629</v>
      </c>
    </row>
    <row r="61" spans="1:40" outlineLevel="1">
      <c r="C61" s="51"/>
      <c r="E61" s="53" t="s">
        <v>213</v>
      </c>
      <c r="F61" s="325"/>
      <c r="G61" s="328"/>
      <c r="H61" s="327"/>
      <c r="I61" s="328">
        <v>0</v>
      </c>
      <c r="J61" s="328">
        <v>0</v>
      </c>
      <c r="K61" s="328">
        <v>16.43835616438356</v>
      </c>
      <c r="L61" s="328">
        <v>30.821917808219183</v>
      </c>
      <c r="M61" s="328">
        <v>41.095890410958901</v>
      </c>
      <c r="N61" s="328">
        <v>43.150684931506845</v>
      </c>
      <c r="O61" s="328">
        <v>45.30821917808219</v>
      </c>
      <c r="P61" s="328">
        <v>47.573630136986303</v>
      </c>
      <c r="Q61" s="328">
        <v>49.952311643835628</v>
      </c>
      <c r="R61" s="328">
        <v>49.952311643835628</v>
      </c>
      <c r="S61" s="328">
        <v>49.952311643835628</v>
      </c>
      <c r="T61" s="328">
        <v>49.952311643835628</v>
      </c>
      <c r="U61" s="328">
        <v>49.952311643835628</v>
      </c>
      <c r="V61" s="328">
        <v>49.952311643835628</v>
      </c>
      <c r="W61" s="328">
        <v>49.952311643835628</v>
      </c>
      <c r="X61" s="328">
        <v>49.952311643835628</v>
      </c>
      <c r="Y61" s="328">
        <v>49.952311643835628</v>
      </c>
      <c r="Z61" s="328">
        <v>49.952311643835628</v>
      </c>
      <c r="AA61" s="328">
        <v>49.952311643835628</v>
      </c>
      <c r="AB61" s="328">
        <v>49.952311643835628</v>
      </c>
      <c r="AC61" s="328">
        <v>49.952311643835628</v>
      </c>
      <c r="AD61" s="328">
        <v>49.952311643835628</v>
      </c>
      <c r="AE61" s="328">
        <v>49.952311643835628</v>
      </c>
      <c r="AF61" s="328">
        <v>49.952311643835628</v>
      </c>
      <c r="AG61" s="328">
        <v>49.952311643835628</v>
      </c>
      <c r="AH61" s="328">
        <v>49.952311643835628</v>
      </c>
      <c r="AI61" s="328">
        <v>49.952311643835628</v>
      </c>
      <c r="AJ61" s="328">
        <v>49.952311643835628</v>
      </c>
      <c r="AK61" s="328">
        <v>49.952311643835628</v>
      </c>
      <c r="AL61" s="328">
        <v>49.952311643835628</v>
      </c>
    </row>
    <row r="62" spans="1:40" s="60" customFormat="1" outlineLevel="1">
      <c r="A62" s="59"/>
      <c r="C62" s="247"/>
      <c r="E62" s="54" t="s">
        <v>214</v>
      </c>
      <c r="F62" s="329"/>
      <c r="G62" s="330"/>
      <c r="H62" s="330"/>
      <c r="I62" s="330">
        <v>324.40121095890407</v>
      </c>
      <c r="J62" s="330">
        <v>828.25841095890405</v>
      </c>
      <c r="K62" s="330">
        <v>910.91704109589034</v>
      </c>
      <c r="L62" s="330">
        <v>1100.8485479452054</v>
      </c>
      <c r="M62" s="330">
        <v>1111.4307397260272</v>
      </c>
      <c r="N62" s="330">
        <v>1113.9478630136987</v>
      </c>
      <c r="O62" s="330">
        <v>1116.105397260274</v>
      </c>
      <c r="P62" s="330">
        <v>1118.3708082191781</v>
      </c>
      <c r="Q62" s="330">
        <v>1120.7494897260274</v>
      </c>
      <c r="R62" s="330">
        <v>1120.7494897260274</v>
      </c>
      <c r="S62" s="330">
        <v>1120.7494897260274</v>
      </c>
      <c r="T62" s="330">
        <v>1120.7494897260274</v>
      </c>
      <c r="U62" s="330">
        <v>1120.7494897260274</v>
      </c>
      <c r="V62" s="330">
        <v>1120.7494897260274</v>
      </c>
      <c r="W62" s="330">
        <v>1120.7494897260274</v>
      </c>
      <c r="X62" s="330">
        <v>1120.7494897260274</v>
      </c>
      <c r="Y62" s="330">
        <v>1120.7494897260274</v>
      </c>
      <c r="Z62" s="330">
        <v>1120.7494897260274</v>
      </c>
      <c r="AA62" s="330">
        <v>1120.7494897260274</v>
      </c>
      <c r="AB62" s="330">
        <v>1120.7494897260274</v>
      </c>
      <c r="AC62" s="330">
        <v>1120.7494897260274</v>
      </c>
      <c r="AD62" s="330">
        <v>1120.7494897260274</v>
      </c>
      <c r="AE62" s="330">
        <v>1120.7494897260274</v>
      </c>
      <c r="AF62" s="330">
        <v>1120.7494897260274</v>
      </c>
      <c r="AG62" s="330">
        <v>1120.7494897260274</v>
      </c>
      <c r="AH62" s="330">
        <v>1120.7494897260274</v>
      </c>
      <c r="AI62" s="330">
        <v>1120.7494897260274</v>
      </c>
      <c r="AJ62" s="330">
        <v>1120.7494897260274</v>
      </c>
      <c r="AK62" s="330">
        <v>1120.7494897260274</v>
      </c>
      <c r="AL62" s="330">
        <v>1120.7494897260274</v>
      </c>
      <c r="AN62" s="31"/>
    </row>
    <row r="63" spans="1:40" ht="3.75" customHeight="1" outlineLevel="1">
      <c r="C63" s="247"/>
      <c r="E63" s="55"/>
      <c r="F63" s="56"/>
      <c r="G63" s="57"/>
      <c r="H63" s="57"/>
      <c r="I63" s="57"/>
      <c r="J63" s="58"/>
      <c r="K63" s="57"/>
      <c r="L63" s="58"/>
      <c r="M63" s="57"/>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row>
    <row r="64" spans="1:40" s="60" customFormat="1" outlineLevel="1">
      <c r="A64" s="59"/>
      <c r="C64" s="247"/>
      <c r="E64" s="52" t="s">
        <v>103</v>
      </c>
      <c r="F64" s="311"/>
      <c r="G64" s="317"/>
      <c r="H64" s="312"/>
      <c r="I64" s="318"/>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N64" s="59"/>
    </row>
    <row r="65" spans="1:40" outlineLevel="1">
      <c r="C65" s="51"/>
      <c r="E65" s="53" t="s">
        <v>405</v>
      </c>
      <c r="F65" s="325">
        <v>0</v>
      </c>
      <c r="G65" s="327">
        <v>0</v>
      </c>
      <c r="H65" s="327">
        <v>0</v>
      </c>
      <c r="I65" s="328">
        <v>2312.2213972602735</v>
      </c>
      <c r="J65" s="328">
        <v>6912.0136438356158</v>
      </c>
      <c r="K65" s="328">
        <v>10271.876712328765</v>
      </c>
      <c r="L65" s="328">
        <v>12115.768219178082</v>
      </c>
      <c r="M65" s="328">
        <v>12197.96</v>
      </c>
      <c r="N65" s="328">
        <v>12197.96</v>
      </c>
      <c r="O65" s="328">
        <v>12197.96</v>
      </c>
      <c r="P65" s="328">
        <v>12197.96</v>
      </c>
      <c r="Q65" s="328">
        <v>12197.96</v>
      </c>
      <c r="R65" s="328">
        <v>12197.96</v>
      </c>
      <c r="S65" s="328">
        <v>12197.96</v>
      </c>
      <c r="T65" s="328">
        <v>12197.96</v>
      </c>
      <c r="U65" s="328">
        <v>12197.96</v>
      </c>
      <c r="V65" s="328">
        <v>12197.96</v>
      </c>
      <c r="W65" s="328">
        <v>12197.96</v>
      </c>
      <c r="X65" s="328">
        <v>12197.96</v>
      </c>
      <c r="Y65" s="328">
        <v>12197.96</v>
      </c>
      <c r="Z65" s="328">
        <v>12197.96</v>
      </c>
      <c r="AA65" s="328">
        <v>12197.96</v>
      </c>
      <c r="AB65" s="328">
        <v>12197.96</v>
      </c>
      <c r="AC65" s="328">
        <v>12197.96</v>
      </c>
      <c r="AD65" s="328">
        <v>12197.96</v>
      </c>
      <c r="AE65" s="328">
        <v>12197.96</v>
      </c>
      <c r="AF65" s="328">
        <v>12197.96</v>
      </c>
      <c r="AG65" s="328">
        <v>12197.96</v>
      </c>
      <c r="AH65" s="328">
        <v>12197.96</v>
      </c>
      <c r="AI65" s="328">
        <v>12197.96</v>
      </c>
      <c r="AJ65" s="328">
        <v>12197.96</v>
      </c>
      <c r="AK65" s="328">
        <v>12197.96</v>
      </c>
      <c r="AL65" s="328">
        <v>12197.96</v>
      </c>
    </row>
    <row r="66" spans="1:40" outlineLevel="1">
      <c r="C66" s="51"/>
      <c r="E66" s="78" t="s">
        <v>406</v>
      </c>
      <c r="F66" s="325">
        <v>0</v>
      </c>
      <c r="G66" s="327">
        <v>0</v>
      </c>
      <c r="H66" s="327">
        <v>0</v>
      </c>
      <c r="I66" s="328">
        <v>578.05534931506838</v>
      </c>
      <c r="J66" s="328">
        <v>1728.0034109589039</v>
      </c>
      <c r="K66" s="328">
        <v>2567.9691780821913</v>
      </c>
      <c r="L66" s="328">
        <v>3028.9420547945206</v>
      </c>
      <c r="M66" s="328">
        <v>3049.49</v>
      </c>
      <c r="N66" s="328">
        <v>3049.49</v>
      </c>
      <c r="O66" s="328">
        <v>3049.49</v>
      </c>
      <c r="P66" s="328">
        <v>3049.49</v>
      </c>
      <c r="Q66" s="328">
        <v>3049.49</v>
      </c>
      <c r="R66" s="328">
        <v>3049.49</v>
      </c>
      <c r="S66" s="328">
        <v>3049.49</v>
      </c>
      <c r="T66" s="328">
        <v>3049.49</v>
      </c>
      <c r="U66" s="328">
        <v>3049.49</v>
      </c>
      <c r="V66" s="328">
        <v>3049.49</v>
      </c>
      <c r="W66" s="328">
        <v>3049.49</v>
      </c>
      <c r="X66" s="328">
        <v>3049.49</v>
      </c>
      <c r="Y66" s="328">
        <v>3049.49</v>
      </c>
      <c r="Z66" s="328">
        <v>3049.49</v>
      </c>
      <c r="AA66" s="328">
        <v>3049.49</v>
      </c>
      <c r="AB66" s="328">
        <v>3049.49</v>
      </c>
      <c r="AC66" s="328">
        <v>3049.49</v>
      </c>
      <c r="AD66" s="328">
        <v>3049.49</v>
      </c>
      <c r="AE66" s="328">
        <v>3049.49</v>
      </c>
      <c r="AF66" s="328">
        <v>3049.49</v>
      </c>
      <c r="AG66" s="328">
        <v>3049.49</v>
      </c>
      <c r="AH66" s="328">
        <v>3049.49</v>
      </c>
      <c r="AI66" s="328">
        <v>3049.49</v>
      </c>
      <c r="AJ66" s="328">
        <v>3049.49</v>
      </c>
      <c r="AK66" s="328">
        <v>3049.49</v>
      </c>
      <c r="AL66" s="328">
        <v>3049.49</v>
      </c>
    </row>
    <row r="67" spans="1:40" outlineLevel="1">
      <c r="C67" s="51"/>
      <c r="E67" s="78" t="s">
        <v>407</v>
      </c>
      <c r="F67" s="325">
        <v>0</v>
      </c>
      <c r="G67" s="327">
        <v>0</v>
      </c>
      <c r="H67" s="327">
        <v>0</v>
      </c>
      <c r="I67" s="328">
        <v>1734.166047945205</v>
      </c>
      <c r="J67" s="328">
        <v>5184.0102328767116</v>
      </c>
      <c r="K67" s="328">
        <v>7703.9075342465749</v>
      </c>
      <c r="L67" s="328">
        <v>9086.8261643835613</v>
      </c>
      <c r="M67" s="328">
        <v>9148.4699999999993</v>
      </c>
      <c r="N67" s="328">
        <v>9148.4699999999993</v>
      </c>
      <c r="O67" s="328">
        <v>9148.4699999999993</v>
      </c>
      <c r="P67" s="328">
        <v>9148.4699999999993</v>
      </c>
      <c r="Q67" s="328">
        <v>9148.4699999999993</v>
      </c>
      <c r="R67" s="328">
        <v>9148.4699999999993</v>
      </c>
      <c r="S67" s="328">
        <v>9148.4699999999993</v>
      </c>
      <c r="T67" s="328">
        <v>9148.4699999999993</v>
      </c>
      <c r="U67" s="328">
        <v>9148.4699999999993</v>
      </c>
      <c r="V67" s="328">
        <v>9148.4699999999993</v>
      </c>
      <c r="W67" s="328">
        <v>9148.4699999999993</v>
      </c>
      <c r="X67" s="328">
        <v>9148.4699999999993</v>
      </c>
      <c r="Y67" s="328">
        <v>9148.4699999999993</v>
      </c>
      <c r="Z67" s="328">
        <v>9148.4699999999993</v>
      </c>
      <c r="AA67" s="328">
        <v>9148.4699999999993</v>
      </c>
      <c r="AB67" s="328">
        <v>9148.4699999999993</v>
      </c>
      <c r="AC67" s="328">
        <v>9148.4699999999993</v>
      </c>
      <c r="AD67" s="328">
        <v>9148.4699999999993</v>
      </c>
      <c r="AE67" s="328">
        <v>9148.4699999999993</v>
      </c>
      <c r="AF67" s="328">
        <v>9148.4699999999993</v>
      </c>
      <c r="AG67" s="328">
        <v>9148.4699999999993</v>
      </c>
      <c r="AH67" s="328">
        <v>9148.4699999999993</v>
      </c>
      <c r="AI67" s="328">
        <v>9148.4699999999993</v>
      </c>
      <c r="AJ67" s="328">
        <v>9148.4699999999993</v>
      </c>
      <c r="AK67" s="328">
        <v>9148.4699999999993</v>
      </c>
      <c r="AL67" s="328">
        <v>9148.4699999999993</v>
      </c>
    </row>
    <row r="68" spans="1:40" outlineLevel="1">
      <c r="C68" s="51"/>
      <c r="E68" s="53" t="s">
        <v>212</v>
      </c>
      <c r="F68" s="325">
        <v>0</v>
      </c>
      <c r="G68" s="327">
        <v>0</v>
      </c>
      <c r="H68" s="327">
        <v>0</v>
      </c>
      <c r="I68" s="328">
        <v>4165.4495917808217</v>
      </c>
      <c r="J68" s="328">
        <v>12018.621156164381</v>
      </c>
      <c r="K68" s="328">
        <v>17196.805972602739</v>
      </c>
      <c r="L68" s="328">
        <v>20643.381315068495</v>
      </c>
      <c r="M68" s="328">
        <v>20736.531999999999</v>
      </c>
      <c r="N68" s="328">
        <v>20736.531999999999</v>
      </c>
      <c r="O68" s="328">
        <v>20736.531999999999</v>
      </c>
      <c r="P68" s="328">
        <v>20736.531999999999</v>
      </c>
      <c r="Q68" s="328">
        <v>20736.531999999999</v>
      </c>
      <c r="R68" s="328">
        <v>20736.531999999999</v>
      </c>
      <c r="S68" s="328">
        <v>20736.531999999999</v>
      </c>
      <c r="T68" s="328">
        <v>20736.531999999999</v>
      </c>
      <c r="U68" s="328">
        <v>20736.531999999999</v>
      </c>
      <c r="V68" s="328">
        <v>20736.531999999999</v>
      </c>
      <c r="W68" s="328">
        <v>20736.531999999999</v>
      </c>
      <c r="X68" s="328">
        <v>20736.531999999999</v>
      </c>
      <c r="Y68" s="328">
        <v>20736.531999999999</v>
      </c>
      <c r="Z68" s="328">
        <v>20736.531999999999</v>
      </c>
      <c r="AA68" s="328">
        <v>20736.531999999999</v>
      </c>
      <c r="AB68" s="328">
        <v>20736.531999999999</v>
      </c>
      <c r="AC68" s="328">
        <v>20736.531999999999</v>
      </c>
      <c r="AD68" s="328">
        <v>20736.531999999999</v>
      </c>
      <c r="AE68" s="328">
        <v>20736.531999999999</v>
      </c>
      <c r="AF68" s="328">
        <v>20736.531999999999</v>
      </c>
      <c r="AG68" s="328">
        <v>20736.531999999999</v>
      </c>
      <c r="AH68" s="328">
        <v>20736.531999999999</v>
      </c>
      <c r="AI68" s="328">
        <v>20736.531999999999</v>
      </c>
      <c r="AJ68" s="328">
        <v>20736.531999999999</v>
      </c>
      <c r="AK68" s="328">
        <v>20736.531999999999</v>
      </c>
      <c r="AL68" s="328">
        <v>20736.531999999999</v>
      </c>
    </row>
    <row r="69" spans="1:40" outlineLevel="1">
      <c r="C69" s="51"/>
      <c r="E69" s="53" t="s">
        <v>480</v>
      </c>
      <c r="F69" s="325">
        <v>0</v>
      </c>
      <c r="G69" s="327">
        <v>0</v>
      </c>
      <c r="H69" s="327">
        <v>0</v>
      </c>
      <c r="I69" s="328">
        <v>0</v>
      </c>
      <c r="J69" s="328">
        <v>0</v>
      </c>
      <c r="K69" s="328">
        <v>9.5890410958904102</v>
      </c>
      <c r="L69" s="328">
        <v>14.794520547945206</v>
      </c>
      <c r="M69" s="328">
        <v>22.19178082191781</v>
      </c>
      <c r="N69" s="328">
        <v>33.287671232876711</v>
      </c>
      <c r="O69" s="328">
        <v>33.75</v>
      </c>
      <c r="P69" s="328">
        <v>33.75</v>
      </c>
      <c r="Q69" s="328">
        <v>33.75</v>
      </c>
      <c r="R69" s="328">
        <v>33.75</v>
      </c>
      <c r="S69" s="328">
        <v>33.75</v>
      </c>
      <c r="T69" s="328">
        <v>33.75</v>
      </c>
      <c r="U69" s="328">
        <v>33.75</v>
      </c>
      <c r="V69" s="328">
        <v>33.75</v>
      </c>
      <c r="W69" s="328">
        <v>33.75</v>
      </c>
      <c r="X69" s="328">
        <v>33.75</v>
      </c>
      <c r="Y69" s="328">
        <v>33.75</v>
      </c>
      <c r="Z69" s="328">
        <v>33.75</v>
      </c>
      <c r="AA69" s="328">
        <v>33.75</v>
      </c>
      <c r="AB69" s="328">
        <v>33.75</v>
      </c>
      <c r="AC69" s="328">
        <v>33.75</v>
      </c>
      <c r="AD69" s="328">
        <v>33.75</v>
      </c>
      <c r="AE69" s="328">
        <v>33.75</v>
      </c>
      <c r="AF69" s="328">
        <v>33.75</v>
      </c>
      <c r="AG69" s="328">
        <v>33.75</v>
      </c>
      <c r="AH69" s="328">
        <v>33.75</v>
      </c>
      <c r="AI69" s="328">
        <v>33.75</v>
      </c>
      <c r="AJ69" s="328">
        <v>33.75</v>
      </c>
      <c r="AK69" s="328">
        <v>33.75</v>
      </c>
      <c r="AL69" s="328">
        <v>33.75</v>
      </c>
    </row>
    <row r="70" spans="1:40" outlineLevel="1">
      <c r="C70" s="51"/>
      <c r="E70" s="53" t="s">
        <v>213</v>
      </c>
      <c r="F70" s="325">
        <v>0</v>
      </c>
      <c r="G70" s="327">
        <v>0</v>
      </c>
      <c r="H70" s="327">
        <v>0</v>
      </c>
      <c r="I70" s="328">
        <v>0</v>
      </c>
      <c r="J70" s="328">
        <v>0</v>
      </c>
      <c r="K70" s="328">
        <v>383.56164383561645</v>
      </c>
      <c r="L70" s="328">
        <v>735.61643835616439</v>
      </c>
      <c r="M70" s="328">
        <v>989.72602739726028</v>
      </c>
      <c r="N70" s="328">
        <v>1047.9452054794522</v>
      </c>
      <c r="O70" s="328">
        <v>1100.3424657534247</v>
      </c>
      <c r="P70" s="328">
        <v>1155.3595890410959</v>
      </c>
      <c r="Q70" s="328">
        <v>1213.1275684931509</v>
      </c>
      <c r="R70" s="328">
        <v>1215.5062500000001</v>
      </c>
      <c r="S70" s="328">
        <v>1215.5062500000001</v>
      </c>
      <c r="T70" s="328">
        <v>1215.5062500000001</v>
      </c>
      <c r="U70" s="328">
        <v>1215.5062500000001</v>
      </c>
      <c r="V70" s="328">
        <v>1215.5062500000001</v>
      </c>
      <c r="W70" s="328">
        <v>1215.5062500000001</v>
      </c>
      <c r="X70" s="328">
        <v>1215.5062500000001</v>
      </c>
      <c r="Y70" s="328">
        <v>1215.5062500000001</v>
      </c>
      <c r="Z70" s="328">
        <v>1215.5062500000001</v>
      </c>
      <c r="AA70" s="328">
        <v>1215.5062500000001</v>
      </c>
      <c r="AB70" s="328">
        <v>1215.5062500000001</v>
      </c>
      <c r="AC70" s="328">
        <v>1215.5062500000001</v>
      </c>
      <c r="AD70" s="328">
        <v>1215.5062500000001</v>
      </c>
      <c r="AE70" s="328">
        <v>1215.5062500000001</v>
      </c>
      <c r="AF70" s="328">
        <v>1215.5062500000001</v>
      </c>
      <c r="AG70" s="328">
        <v>1215.5062500000001</v>
      </c>
      <c r="AH70" s="328">
        <v>1215.5062500000001</v>
      </c>
      <c r="AI70" s="328">
        <v>1215.5062500000001</v>
      </c>
      <c r="AJ70" s="328">
        <v>1215.5062500000001</v>
      </c>
      <c r="AK70" s="328">
        <v>1215.5062500000001</v>
      </c>
      <c r="AL70" s="328">
        <v>1215.5062500000001</v>
      </c>
    </row>
    <row r="71" spans="1:40" s="60" customFormat="1" outlineLevel="1">
      <c r="A71" s="59"/>
      <c r="C71" s="247"/>
      <c r="E71" s="54" t="s">
        <v>214</v>
      </c>
      <c r="F71" s="245">
        <v>0</v>
      </c>
      <c r="G71" s="246">
        <v>0</v>
      </c>
      <c r="H71" s="246">
        <v>0</v>
      </c>
      <c r="I71" s="246">
        <v>6477.6709890410948</v>
      </c>
      <c r="J71" s="246">
        <v>18930.634799999996</v>
      </c>
      <c r="K71" s="246">
        <v>27861.833369863009</v>
      </c>
      <c r="L71" s="246">
        <v>33509.56049315069</v>
      </c>
      <c r="M71" s="246">
        <v>33946.40980821917</v>
      </c>
      <c r="N71" s="246">
        <v>34015.724876712331</v>
      </c>
      <c r="O71" s="246">
        <v>34068.584465753425</v>
      </c>
      <c r="P71" s="246">
        <v>34123.601589041093</v>
      </c>
      <c r="Q71" s="246">
        <v>34181.369568493152</v>
      </c>
      <c r="R71" s="246">
        <v>34183.748249999997</v>
      </c>
      <c r="S71" s="246">
        <v>34183.748249999997</v>
      </c>
      <c r="T71" s="246">
        <v>34183.748249999997</v>
      </c>
      <c r="U71" s="246">
        <v>34183.748249999997</v>
      </c>
      <c r="V71" s="246">
        <v>34183.748249999997</v>
      </c>
      <c r="W71" s="246">
        <v>34183.748249999997</v>
      </c>
      <c r="X71" s="246">
        <v>34183.748249999997</v>
      </c>
      <c r="Y71" s="246">
        <v>34183.748249999997</v>
      </c>
      <c r="Z71" s="246">
        <v>34183.748249999997</v>
      </c>
      <c r="AA71" s="246">
        <v>34183.748249999997</v>
      </c>
      <c r="AB71" s="246">
        <v>34183.748249999997</v>
      </c>
      <c r="AC71" s="246">
        <v>34183.748249999997</v>
      </c>
      <c r="AD71" s="246">
        <v>34183.748249999997</v>
      </c>
      <c r="AE71" s="246">
        <v>34183.748249999997</v>
      </c>
      <c r="AF71" s="246">
        <v>34183.748249999997</v>
      </c>
      <c r="AG71" s="246">
        <v>34183.748249999997</v>
      </c>
      <c r="AH71" s="246">
        <v>34183.748249999997</v>
      </c>
      <c r="AI71" s="246">
        <v>34183.748249999997</v>
      </c>
      <c r="AJ71" s="246">
        <v>34183.748249999997</v>
      </c>
      <c r="AK71" s="246">
        <v>34183.748249999997</v>
      </c>
      <c r="AL71" s="246">
        <v>34183.748249999997</v>
      </c>
      <c r="AN71" s="31"/>
    </row>
    <row r="72" spans="1:40" ht="3.75" customHeight="1" outlineLevel="1">
      <c r="E72" s="55"/>
      <c r="F72" s="56"/>
      <c r="G72" s="57"/>
      <c r="H72" s="57"/>
      <c r="I72" s="57"/>
      <c r="J72" s="58"/>
      <c r="K72" s="57"/>
      <c r="L72" s="58"/>
      <c r="M72" s="57"/>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row>
    <row r="73" spans="1:40">
      <c r="C73" s="417"/>
      <c r="E73" s="52" t="s">
        <v>215</v>
      </c>
      <c r="F73" s="331"/>
      <c r="G73" s="332"/>
      <c r="H73" s="333"/>
      <c r="I73" s="332"/>
      <c r="J73" s="332"/>
      <c r="K73" s="332"/>
      <c r="L73" s="332"/>
      <c r="M73" s="332"/>
      <c r="N73" s="332"/>
      <c r="O73" s="332"/>
      <c r="P73" s="332"/>
      <c r="Q73" s="332"/>
      <c r="R73" s="332"/>
      <c r="S73" s="332"/>
      <c r="T73" s="332"/>
      <c r="U73" s="332"/>
      <c r="V73" s="332"/>
      <c r="W73" s="332"/>
      <c r="X73" s="332"/>
      <c r="Y73" s="332"/>
      <c r="Z73" s="332"/>
      <c r="AA73" s="332"/>
      <c r="AB73" s="332"/>
      <c r="AC73" s="332"/>
      <c r="AD73" s="332"/>
      <c r="AE73" s="332"/>
      <c r="AF73" s="332"/>
      <c r="AG73" s="332"/>
      <c r="AH73" s="332"/>
      <c r="AI73" s="332"/>
      <c r="AJ73" s="332"/>
      <c r="AK73" s="332"/>
      <c r="AL73" s="332"/>
    </row>
    <row r="74" spans="1:40">
      <c r="C74" s="417"/>
      <c r="E74" s="53" t="s">
        <v>397</v>
      </c>
      <c r="F74" s="334">
        <v>21.5</v>
      </c>
      <c r="G74" s="335">
        <v>18</v>
      </c>
      <c r="H74" s="335">
        <v>18</v>
      </c>
      <c r="I74" s="335">
        <v>17.05</v>
      </c>
      <c r="J74" s="335">
        <v>15.400000000000002</v>
      </c>
      <c r="K74" s="335">
        <v>15.400000000000002</v>
      </c>
      <c r="L74" s="335">
        <v>14.3</v>
      </c>
      <c r="M74" s="335">
        <v>14.3</v>
      </c>
      <c r="N74" s="335">
        <v>14.3</v>
      </c>
      <c r="O74" s="335">
        <v>14.3</v>
      </c>
      <c r="P74" s="335">
        <v>14.3</v>
      </c>
      <c r="Q74" s="335">
        <v>14.3</v>
      </c>
      <c r="R74" s="335">
        <v>14.3</v>
      </c>
      <c r="S74" s="335">
        <v>14.3</v>
      </c>
      <c r="T74" s="335">
        <v>14.3</v>
      </c>
      <c r="U74" s="335">
        <v>14.3</v>
      </c>
      <c r="V74" s="335">
        <v>14.3</v>
      </c>
      <c r="W74" s="335">
        <v>14.3</v>
      </c>
      <c r="X74" s="335">
        <v>14.3</v>
      </c>
      <c r="Y74" s="335">
        <v>14.3</v>
      </c>
      <c r="Z74" s="335">
        <v>14.3</v>
      </c>
      <c r="AA74" s="335">
        <v>14.3</v>
      </c>
      <c r="AB74" s="335">
        <v>14.3</v>
      </c>
      <c r="AC74" s="335">
        <v>14.3</v>
      </c>
      <c r="AD74" s="335">
        <v>14.3</v>
      </c>
      <c r="AE74" s="335">
        <v>14.3</v>
      </c>
      <c r="AF74" s="335">
        <v>14.3</v>
      </c>
      <c r="AG74" s="335">
        <v>14.3</v>
      </c>
      <c r="AH74" s="335">
        <v>14.3</v>
      </c>
      <c r="AI74" s="335">
        <v>14.3</v>
      </c>
      <c r="AJ74" s="335">
        <v>14.3</v>
      </c>
      <c r="AK74" s="335">
        <v>14.3</v>
      </c>
      <c r="AL74" s="335">
        <v>14.3</v>
      </c>
    </row>
    <row r="75" spans="1:40">
      <c r="C75" s="417"/>
      <c r="E75" s="53" t="s">
        <v>396</v>
      </c>
      <c r="F75" s="334">
        <v>21.5</v>
      </c>
      <c r="G75" s="335">
        <v>18</v>
      </c>
      <c r="H75" s="335">
        <v>18</v>
      </c>
      <c r="I75" s="335">
        <v>15.5</v>
      </c>
      <c r="J75" s="335">
        <v>14</v>
      </c>
      <c r="K75" s="335">
        <v>14</v>
      </c>
      <c r="L75" s="335">
        <v>13</v>
      </c>
      <c r="M75" s="335">
        <v>13</v>
      </c>
      <c r="N75" s="335">
        <v>13</v>
      </c>
      <c r="O75" s="335">
        <v>13</v>
      </c>
      <c r="P75" s="335">
        <v>13</v>
      </c>
      <c r="Q75" s="335">
        <v>13</v>
      </c>
      <c r="R75" s="335">
        <v>13</v>
      </c>
      <c r="S75" s="335">
        <v>13</v>
      </c>
      <c r="T75" s="335">
        <v>13</v>
      </c>
      <c r="U75" s="335">
        <v>13</v>
      </c>
      <c r="V75" s="335">
        <v>13</v>
      </c>
      <c r="W75" s="335">
        <v>13</v>
      </c>
      <c r="X75" s="335">
        <v>13</v>
      </c>
      <c r="Y75" s="335">
        <v>13</v>
      </c>
      <c r="Z75" s="335">
        <v>13</v>
      </c>
      <c r="AA75" s="335">
        <v>13</v>
      </c>
      <c r="AB75" s="335">
        <v>13</v>
      </c>
      <c r="AC75" s="335">
        <v>13</v>
      </c>
      <c r="AD75" s="335">
        <v>13</v>
      </c>
      <c r="AE75" s="335">
        <v>13</v>
      </c>
      <c r="AF75" s="335">
        <v>13</v>
      </c>
      <c r="AG75" s="335">
        <v>13</v>
      </c>
      <c r="AH75" s="335">
        <v>13</v>
      </c>
      <c r="AI75" s="335">
        <v>13</v>
      </c>
      <c r="AJ75" s="335">
        <v>13</v>
      </c>
      <c r="AK75" s="335">
        <v>13</v>
      </c>
      <c r="AL75" s="335">
        <v>13</v>
      </c>
    </row>
    <row r="76" spans="1:40">
      <c r="C76" s="417"/>
      <c r="E76" s="53" t="s">
        <v>67</v>
      </c>
      <c r="F76" s="334"/>
      <c r="G76" s="335"/>
      <c r="H76" s="335"/>
      <c r="I76" s="335">
        <v>1</v>
      </c>
      <c r="J76" s="335">
        <v>1.2</v>
      </c>
      <c r="K76" s="335">
        <v>1.2</v>
      </c>
      <c r="L76" s="335">
        <v>1.2</v>
      </c>
      <c r="M76" s="335">
        <v>1.2</v>
      </c>
      <c r="N76" s="335">
        <v>1.2</v>
      </c>
      <c r="O76" s="335">
        <v>1.2</v>
      </c>
      <c r="P76" s="335">
        <v>1.2</v>
      </c>
      <c r="Q76" s="335">
        <v>1.2</v>
      </c>
      <c r="R76" s="335">
        <v>1.2</v>
      </c>
      <c r="S76" s="335">
        <v>1.2</v>
      </c>
      <c r="T76" s="335">
        <v>1.2</v>
      </c>
      <c r="U76" s="335">
        <v>1.2</v>
      </c>
      <c r="V76" s="335">
        <v>1.2</v>
      </c>
      <c r="W76" s="335">
        <v>1.2</v>
      </c>
      <c r="X76" s="335">
        <v>1.2</v>
      </c>
      <c r="Y76" s="335">
        <v>1.2</v>
      </c>
      <c r="Z76" s="335">
        <v>1.2</v>
      </c>
      <c r="AA76" s="335">
        <v>1.2</v>
      </c>
      <c r="AB76" s="335">
        <v>1.2</v>
      </c>
      <c r="AC76" s="335">
        <v>1.2</v>
      </c>
      <c r="AD76" s="335">
        <v>1.2</v>
      </c>
      <c r="AE76" s="335">
        <v>1.2</v>
      </c>
      <c r="AF76" s="335">
        <v>1.2</v>
      </c>
      <c r="AG76" s="335">
        <v>1.2</v>
      </c>
      <c r="AH76" s="335">
        <v>1.2</v>
      </c>
      <c r="AI76" s="335">
        <v>1.2</v>
      </c>
      <c r="AJ76" s="335">
        <v>1.2</v>
      </c>
      <c r="AK76" s="335">
        <v>1.2</v>
      </c>
      <c r="AL76" s="335">
        <v>1.2</v>
      </c>
    </row>
    <row r="77" spans="1:40">
      <c r="C77" s="417"/>
      <c r="E77" s="53" t="s">
        <v>68</v>
      </c>
      <c r="F77" s="334"/>
      <c r="G77" s="335"/>
      <c r="H77" s="335"/>
      <c r="I77" s="335">
        <v>500</v>
      </c>
      <c r="J77" s="335">
        <v>500</v>
      </c>
      <c r="K77" s="335">
        <v>500</v>
      </c>
      <c r="L77" s="335">
        <v>400</v>
      </c>
      <c r="M77" s="335">
        <v>375</v>
      </c>
      <c r="N77" s="335">
        <v>250</v>
      </c>
      <c r="O77" s="335">
        <v>200</v>
      </c>
      <c r="P77" s="335">
        <v>200</v>
      </c>
      <c r="Q77" s="335">
        <v>200</v>
      </c>
      <c r="R77" s="335">
        <v>200</v>
      </c>
      <c r="S77" s="335">
        <v>200</v>
      </c>
      <c r="T77" s="335">
        <v>200</v>
      </c>
      <c r="U77" s="335">
        <v>200</v>
      </c>
      <c r="V77" s="335">
        <v>200</v>
      </c>
      <c r="W77" s="335">
        <v>200</v>
      </c>
      <c r="X77" s="335">
        <v>200</v>
      </c>
      <c r="Y77" s="335">
        <v>200</v>
      </c>
      <c r="Z77" s="335">
        <v>200</v>
      </c>
      <c r="AA77" s="335">
        <v>200</v>
      </c>
      <c r="AB77" s="335">
        <v>200</v>
      </c>
      <c r="AC77" s="335">
        <v>200</v>
      </c>
      <c r="AD77" s="335">
        <v>200</v>
      </c>
      <c r="AE77" s="335">
        <v>200</v>
      </c>
      <c r="AF77" s="335">
        <v>200</v>
      </c>
      <c r="AG77" s="335">
        <v>200</v>
      </c>
      <c r="AH77" s="335">
        <v>200</v>
      </c>
      <c r="AI77" s="335">
        <v>200</v>
      </c>
      <c r="AJ77" s="335">
        <v>200</v>
      </c>
      <c r="AK77" s="335">
        <v>200</v>
      </c>
      <c r="AL77" s="335">
        <v>200</v>
      </c>
    </row>
    <row r="78" spans="1:40">
      <c r="C78" s="417"/>
      <c r="E78" s="53" t="s">
        <v>69</v>
      </c>
      <c r="F78" s="334"/>
      <c r="G78" s="335"/>
      <c r="H78" s="335"/>
      <c r="I78" s="335">
        <v>50</v>
      </c>
      <c r="J78" s="335">
        <v>50</v>
      </c>
      <c r="K78" s="335">
        <v>50</v>
      </c>
      <c r="L78" s="335">
        <v>50</v>
      </c>
      <c r="M78" s="335">
        <v>50</v>
      </c>
      <c r="N78" s="335">
        <v>50</v>
      </c>
      <c r="O78" s="335">
        <v>50</v>
      </c>
      <c r="P78" s="335">
        <v>50</v>
      </c>
      <c r="Q78" s="335">
        <v>50</v>
      </c>
      <c r="R78" s="335">
        <v>50</v>
      </c>
      <c r="S78" s="335">
        <v>50</v>
      </c>
      <c r="T78" s="335">
        <v>50</v>
      </c>
      <c r="U78" s="335">
        <v>50</v>
      </c>
      <c r="V78" s="335">
        <v>50</v>
      </c>
      <c r="W78" s="335">
        <v>50</v>
      </c>
      <c r="X78" s="335">
        <v>50</v>
      </c>
      <c r="Y78" s="335">
        <v>50</v>
      </c>
      <c r="Z78" s="335">
        <v>50</v>
      </c>
      <c r="AA78" s="335">
        <v>50</v>
      </c>
      <c r="AB78" s="335">
        <v>50</v>
      </c>
      <c r="AC78" s="335">
        <v>50</v>
      </c>
      <c r="AD78" s="335">
        <v>50</v>
      </c>
      <c r="AE78" s="335">
        <v>50</v>
      </c>
      <c r="AF78" s="335">
        <v>50</v>
      </c>
      <c r="AG78" s="335">
        <v>50</v>
      </c>
      <c r="AH78" s="335">
        <v>50</v>
      </c>
      <c r="AI78" s="335">
        <v>50</v>
      </c>
      <c r="AJ78" s="335">
        <v>50</v>
      </c>
      <c r="AK78" s="335">
        <v>50</v>
      </c>
      <c r="AL78" s="335">
        <v>50</v>
      </c>
    </row>
    <row r="79" spans="1:40" s="60" customFormat="1">
      <c r="A79" s="59"/>
      <c r="C79" s="418"/>
      <c r="E79" s="52" t="s">
        <v>216</v>
      </c>
      <c r="F79" s="336"/>
      <c r="G79" s="337"/>
      <c r="H79" s="337"/>
      <c r="I79" s="337">
        <v>6.0130010147133444</v>
      </c>
      <c r="J79" s="337">
        <v>5.8457787924911218</v>
      </c>
      <c r="K79" s="337">
        <v>6.8711286907189839</v>
      </c>
      <c r="L79" s="337">
        <v>6.7927818981845922</v>
      </c>
      <c r="M79" s="337">
        <v>7.2217784949291799</v>
      </c>
      <c r="N79" s="337">
        <v>7.2943461770361857</v>
      </c>
      <c r="O79" s="337">
        <v>7.3138641561628228</v>
      </c>
      <c r="P79" s="337">
        <v>7.3826588743387767</v>
      </c>
      <c r="Q79" s="337">
        <v>7.454654532352448</v>
      </c>
      <c r="R79" s="337">
        <v>7.4581337902288114</v>
      </c>
      <c r="S79" s="337">
        <v>7.4581337902288114</v>
      </c>
      <c r="T79" s="337">
        <v>7.4581337902288114</v>
      </c>
      <c r="U79" s="337">
        <v>7.4581337902288114</v>
      </c>
      <c r="V79" s="337">
        <v>7.4581337902288114</v>
      </c>
      <c r="W79" s="337">
        <v>7.4581337902288114</v>
      </c>
      <c r="X79" s="337">
        <v>7.4581337902288114</v>
      </c>
      <c r="Y79" s="337">
        <v>7.4581337902288114</v>
      </c>
      <c r="Z79" s="337">
        <v>7.4581337902288114</v>
      </c>
      <c r="AA79" s="337">
        <v>7.4581337902288114</v>
      </c>
      <c r="AB79" s="337">
        <v>7.4581337902288114</v>
      </c>
      <c r="AC79" s="337">
        <v>7.4581337902288114</v>
      </c>
      <c r="AD79" s="337">
        <v>7.4581337902288114</v>
      </c>
      <c r="AE79" s="337">
        <v>7.4581337902288114</v>
      </c>
      <c r="AF79" s="337">
        <v>7.4581337902288114</v>
      </c>
      <c r="AG79" s="337">
        <v>7.4581337902288114</v>
      </c>
      <c r="AH79" s="337">
        <v>7.4581337902288114</v>
      </c>
      <c r="AI79" s="337">
        <v>7.4581337902288114</v>
      </c>
      <c r="AJ79" s="337">
        <v>7.4581337902288114</v>
      </c>
      <c r="AK79" s="337">
        <v>7.4581337902288114</v>
      </c>
      <c r="AL79" s="337">
        <v>7.4581337902288114</v>
      </c>
      <c r="AN79" s="31"/>
    </row>
    <row r="80" spans="1:40" ht="3.75" customHeight="1">
      <c r="E80" s="53"/>
      <c r="F80" s="62"/>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row>
    <row r="81" spans="1:40">
      <c r="C81" s="51"/>
      <c r="E81" s="52" t="s">
        <v>94</v>
      </c>
      <c r="F81" s="311"/>
      <c r="G81" s="312"/>
      <c r="H81" s="312"/>
      <c r="I81" s="312"/>
      <c r="J81" s="312"/>
      <c r="K81" s="312"/>
      <c r="L81" s="312"/>
      <c r="M81" s="312"/>
      <c r="N81" s="312"/>
      <c r="O81" s="312"/>
      <c r="P81" s="312"/>
      <c r="Q81" s="312"/>
      <c r="R81" s="312"/>
      <c r="S81" s="312"/>
      <c r="T81" s="312"/>
      <c r="U81" s="312"/>
      <c r="V81" s="312"/>
      <c r="W81" s="312"/>
      <c r="X81" s="312"/>
      <c r="Y81" s="312"/>
      <c r="Z81" s="312"/>
      <c r="AA81" s="312"/>
      <c r="AB81" s="312"/>
      <c r="AC81" s="312"/>
      <c r="AD81" s="312"/>
      <c r="AE81" s="312"/>
      <c r="AF81" s="312"/>
      <c r="AG81" s="312"/>
      <c r="AH81" s="312"/>
      <c r="AI81" s="312"/>
      <c r="AJ81" s="312"/>
      <c r="AK81" s="312"/>
      <c r="AL81" s="312"/>
    </row>
    <row r="82" spans="1:40">
      <c r="C82" s="51"/>
      <c r="E82" s="53" t="s">
        <v>397</v>
      </c>
      <c r="F82" s="311"/>
      <c r="G82" s="314"/>
      <c r="H82" s="312"/>
      <c r="I82" s="314">
        <v>9855.843705821917</v>
      </c>
      <c r="J82" s="314">
        <v>26611.252528767123</v>
      </c>
      <c r="K82" s="314">
        <v>39546.725342465754</v>
      </c>
      <c r="L82" s="314">
        <v>43313.871383561644</v>
      </c>
      <c r="M82" s="314">
        <v>43607.707000000002</v>
      </c>
      <c r="N82" s="314">
        <v>43607.707000000002</v>
      </c>
      <c r="O82" s="314">
        <v>43607.707000000002</v>
      </c>
      <c r="P82" s="314">
        <v>43607.707000000002</v>
      </c>
      <c r="Q82" s="314">
        <v>43607.707000000002</v>
      </c>
      <c r="R82" s="314">
        <v>43607.707000000002</v>
      </c>
      <c r="S82" s="314">
        <v>43607.707000000002</v>
      </c>
      <c r="T82" s="314">
        <v>43607.707000000002</v>
      </c>
      <c r="U82" s="314">
        <v>43607.707000000002</v>
      </c>
      <c r="V82" s="314">
        <v>43607.707000000002</v>
      </c>
      <c r="W82" s="314">
        <v>43607.707000000002</v>
      </c>
      <c r="X82" s="314">
        <v>43607.707000000002</v>
      </c>
      <c r="Y82" s="314">
        <v>43607.707000000002</v>
      </c>
      <c r="Z82" s="314">
        <v>43607.707000000002</v>
      </c>
      <c r="AA82" s="314">
        <v>43607.707000000002</v>
      </c>
      <c r="AB82" s="314">
        <v>43607.707000000002</v>
      </c>
      <c r="AC82" s="314">
        <v>43607.707000000002</v>
      </c>
      <c r="AD82" s="314">
        <v>43607.707000000002</v>
      </c>
      <c r="AE82" s="314">
        <v>43607.707000000002</v>
      </c>
      <c r="AF82" s="314">
        <v>43607.707000000002</v>
      </c>
      <c r="AG82" s="314">
        <v>43607.707000000002</v>
      </c>
      <c r="AH82" s="314">
        <v>43607.707000000002</v>
      </c>
      <c r="AI82" s="314">
        <v>43607.707000000002</v>
      </c>
      <c r="AJ82" s="314">
        <v>43607.707000000002</v>
      </c>
      <c r="AK82" s="314">
        <v>43607.707000000002</v>
      </c>
      <c r="AL82" s="314">
        <v>43607.707000000002</v>
      </c>
    </row>
    <row r="83" spans="1:40">
      <c r="C83" s="51"/>
      <c r="E83" s="53" t="s">
        <v>396</v>
      </c>
      <c r="F83" s="311"/>
      <c r="G83" s="314"/>
      <c r="H83" s="312"/>
      <c r="I83" s="314">
        <v>26879.573743150679</v>
      </c>
      <c r="J83" s="314">
        <v>72576.143260273966</v>
      </c>
      <c r="K83" s="314">
        <v>107854.70547945205</v>
      </c>
      <c r="L83" s="314">
        <v>118128.74013698629</v>
      </c>
      <c r="M83" s="314">
        <v>118930.10999999999</v>
      </c>
      <c r="N83" s="314">
        <v>118930.10999999999</v>
      </c>
      <c r="O83" s="314">
        <v>118930.10999999999</v>
      </c>
      <c r="P83" s="314">
        <v>118930.10999999999</v>
      </c>
      <c r="Q83" s="314">
        <v>118930.10999999999</v>
      </c>
      <c r="R83" s="314">
        <v>118930.10999999999</v>
      </c>
      <c r="S83" s="314">
        <v>118930.10999999999</v>
      </c>
      <c r="T83" s="314">
        <v>118930.10999999999</v>
      </c>
      <c r="U83" s="314">
        <v>118930.10999999999</v>
      </c>
      <c r="V83" s="314">
        <v>118930.10999999999</v>
      </c>
      <c r="W83" s="314">
        <v>118930.10999999999</v>
      </c>
      <c r="X83" s="314">
        <v>118930.10999999999</v>
      </c>
      <c r="Y83" s="314">
        <v>118930.10999999999</v>
      </c>
      <c r="Z83" s="314">
        <v>118930.10999999999</v>
      </c>
      <c r="AA83" s="314">
        <v>118930.10999999999</v>
      </c>
      <c r="AB83" s="314">
        <v>118930.10999999999</v>
      </c>
      <c r="AC83" s="314">
        <v>118930.10999999999</v>
      </c>
      <c r="AD83" s="314">
        <v>118930.10999999999</v>
      </c>
      <c r="AE83" s="314">
        <v>118930.10999999999</v>
      </c>
      <c r="AF83" s="314">
        <v>118930.10999999999</v>
      </c>
      <c r="AG83" s="314">
        <v>118930.10999999999</v>
      </c>
      <c r="AH83" s="314">
        <v>118930.10999999999</v>
      </c>
      <c r="AI83" s="314">
        <v>118930.10999999999</v>
      </c>
      <c r="AJ83" s="314">
        <v>118930.10999999999</v>
      </c>
      <c r="AK83" s="314">
        <v>118930.10999999999</v>
      </c>
      <c r="AL83" s="314">
        <v>118930.10999999999</v>
      </c>
    </row>
    <row r="84" spans="1:40">
      <c r="C84" s="51"/>
      <c r="E84" s="53" t="s">
        <v>67</v>
      </c>
      <c r="F84" s="311"/>
      <c r="G84" s="314"/>
      <c r="H84" s="312"/>
      <c r="I84" s="314">
        <v>4165.4495917808217</v>
      </c>
      <c r="J84" s="314">
        <v>14422.345387397258</v>
      </c>
      <c r="K84" s="314">
        <v>20636.167167123287</v>
      </c>
      <c r="L84" s="314">
        <v>24772.057578082193</v>
      </c>
      <c r="M84" s="314">
        <v>24883.838399999997</v>
      </c>
      <c r="N84" s="314">
        <v>24883.838399999997</v>
      </c>
      <c r="O84" s="314">
        <v>24883.838399999997</v>
      </c>
      <c r="P84" s="314">
        <v>24883.838399999997</v>
      </c>
      <c r="Q84" s="314">
        <v>24883.838399999997</v>
      </c>
      <c r="R84" s="314">
        <v>24883.838399999997</v>
      </c>
      <c r="S84" s="314">
        <v>24883.838399999997</v>
      </c>
      <c r="T84" s="314">
        <v>24883.838399999997</v>
      </c>
      <c r="U84" s="314">
        <v>24883.838399999997</v>
      </c>
      <c r="V84" s="314">
        <v>24883.838399999997</v>
      </c>
      <c r="W84" s="314">
        <v>24883.838399999997</v>
      </c>
      <c r="X84" s="314">
        <v>24883.838399999997</v>
      </c>
      <c r="Y84" s="314">
        <v>24883.838399999997</v>
      </c>
      <c r="Z84" s="314">
        <v>24883.838399999997</v>
      </c>
      <c r="AA84" s="314">
        <v>24883.838399999997</v>
      </c>
      <c r="AB84" s="314">
        <v>24883.838399999997</v>
      </c>
      <c r="AC84" s="314">
        <v>24883.838399999997</v>
      </c>
      <c r="AD84" s="314">
        <v>24883.838399999997</v>
      </c>
      <c r="AE84" s="314">
        <v>24883.838399999997</v>
      </c>
      <c r="AF84" s="314">
        <v>24883.838399999997</v>
      </c>
      <c r="AG84" s="314">
        <v>24883.838399999997</v>
      </c>
      <c r="AH84" s="314">
        <v>24883.838399999997</v>
      </c>
      <c r="AI84" s="314">
        <v>24883.838399999997</v>
      </c>
      <c r="AJ84" s="314">
        <v>24883.838399999997</v>
      </c>
      <c r="AK84" s="314">
        <v>24883.838399999997</v>
      </c>
      <c r="AL84" s="314">
        <v>24883.838399999997</v>
      </c>
    </row>
    <row r="85" spans="1:40">
      <c r="C85" s="51"/>
      <c r="E85" s="53" t="s">
        <v>68</v>
      </c>
      <c r="F85" s="311"/>
      <c r="G85" s="314"/>
      <c r="H85" s="312"/>
      <c r="I85" s="314">
        <v>0</v>
      </c>
      <c r="J85" s="314">
        <v>0</v>
      </c>
      <c r="K85" s="314">
        <v>4794.5205479452052</v>
      </c>
      <c r="L85" s="314">
        <v>5917.8082191780823</v>
      </c>
      <c r="M85" s="314">
        <v>8321.9178082191793</v>
      </c>
      <c r="N85" s="314">
        <v>8321.9178082191775</v>
      </c>
      <c r="O85" s="314">
        <v>6750</v>
      </c>
      <c r="P85" s="314">
        <v>6750</v>
      </c>
      <c r="Q85" s="314">
        <v>6750</v>
      </c>
      <c r="R85" s="314">
        <v>6750</v>
      </c>
      <c r="S85" s="314">
        <v>6750</v>
      </c>
      <c r="T85" s="314">
        <v>6750</v>
      </c>
      <c r="U85" s="314">
        <v>6750</v>
      </c>
      <c r="V85" s="314">
        <v>6750</v>
      </c>
      <c r="W85" s="314">
        <v>6750</v>
      </c>
      <c r="X85" s="314">
        <v>6750</v>
      </c>
      <c r="Y85" s="314">
        <v>6750</v>
      </c>
      <c r="Z85" s="314">
        <v>6750</v>
      </c>
      <c r="AA85" s="314">
        <v>6750</v>
      </c>
      <c r="AB85" s="314">
        <v>6750</v>
      </c>
      <c r="AC85" s="314">
        <v>6750</v>
      </c>
      <c r="AD85" s="314">
        <v>6750</v>
      </c>
      <c r="AE85" s="314">
        <v>6750</v>
      </c>
      <c r="AF85" s="314">
        <v>6750</v>
      </c>
      <c r="AG85" s="314">
        <v>6750</v>
      </c>
      <c r="AH85" s="314">
        <v>6750</v>
      </c>
      <c r="AI85" s="314">
        <v>6750</v>
      </c>
      <c r="AJ85" s="314">
        <v>6750</v>
      </c>
      <c r="AK85" s="314">
        <v>6750</v>
      </c>
      <c r="AL85" s="314">
        <v>6750</v>
      </c>
    </row>
    <row r="86" spans="1:40">
      <c r="C86" s="51"/>
      <c r="E86" s="53" t="s">
        <v>69</v>
      </c>
      <c r="F86" s="311"/>
      <c r="G86" s="314"/>
      <c r="H86" s="312"/>
      <c r="I86" s="314">
        <v>0</v>
      </c>
      <c r="J86" s="314">
        <v>0</v>
      </c>
      <c r="K86" s="314">
        <v>19178.082191780821</v>
      </c>
      <c r="L86" s="314">
        <v>36780.821917808222</v>
      </c>
      <c r="M86" s="314">
        <v>49486.301369863017</v>
      </c>
      <c r="N86" s="314">
        <v>52397.260273972606</v>
      </c>
      <c r="O86" s="314">
        <v>55017.123287671231</v>
      </c>
      <c r="P86" s="314">
        <v>57767.979452054795</v>
      </c>
      <c r="Q86" s="314">
        <v>60656.378424657545</v>
      </c>
      <c r="R86" s="314">
        <v>60775.312500000007</v>
      </c>
      <c r="S86" s="314">
        <v>60775.312500000007</v>
      </c>
      <c r="T86" s="314">
        <v>60775.312500000007</v>
      </c>
      <c r="U86" s="314">
        <v>60775.312500000007</v>
      </c>
      <c r="V86" s="314">
        <v>60775.312500000007</v>
      </c>
      <c r="W86" s="314">
        <v>60775.312500000007</v>
      </c>
      <c r="X86" s="314">
        <v>60775.312500000007</v>
      </c>
      <c r="Y86" s="314">
        <v>60775.312500000007</v>
      </c>
      <c r="Z86" s="314">
        <v>60775.312500000007</v>
      </c>
      <c r="AA86" s="314">
        <v>60775.312500000007</v>
      </c>
      <c r="AB86" s="314">
        <v>60775.312500000007</v>
      </c>
      <c r="AC86" s="314">
        <v>60775.312500000007</v>
      </c>
      <c r="AD86" s="314">
        <v>60775.312500000007</v>
      </c>
      <c r="AE86" s="314">
        <v>60775.312500000007</v>
      </c>
      <c r="AF86" s="314">
        <v>60775.312500000007</v>
      </c>
      <c r="AG86" s="314">
        <v>60775.312500000007</v>
      </c>
      <c r="AH86" s="314">
        <v>60775.312500000007</v>
      </c>
      <c r="AI86" s="314">
        <v>60775.312500000007</v>
      </c>
      <c r="AJ86" s="314">
        <v>60775.312500000007</v>
      </c>
      <c r="AK86" s="314">
        <v>60775.312500000007</v>
      </c>
      <c r="AL86" s="314">
        <v>60775.312500000007</v>
      </c>
    </row>
    <row r="87" spans="1:40">
      <c r="C87" s="51"/>
      <c r="E87" s="52" t="s">
        <v>94</v>
      </c>
      <c r="F87" s="311">
        <v>0</v>
      </c>
      <c r="G87" s="312">
        <v>0</v>
      </c>
      <c r="H87" s="312">
        <v>0</v>
      </c>
      <c r="I87" s="312">
        <v>40900.867040753423</v>
      </c>
      <c r="J87" s="312">
        <v>113609.74117643836</v>
      </c>
      <c r="K87" s="312">
        <v>192010.20072876711</v>
      </c>
      <c r="L87" s="312">
        <v>228913.29923561646</v>
      </c>
      <c r="M87" s="312">
        <v>245229.87457808218</v>
      </c>
      <c r="N87" s="312">
        <v>248140.83348219178</v>
      </c>
      <c r="O87" s="312">
        <v>249188.77868767123</v>
      </c>
      <c r="P87" s="312">
        <v>251939.63485205479</v>
      </c>
      <c r="Q87" s="312">
        <v>254828.03382465753</v>
      </c>
      <c r="R87" s="312">
        <v>254946.96789999999</v>
      </c>
      <c r="S87" s="312">
        <v>254946.96789999999</v>
      </c>
      <c r="T87" s="312">
        <v>254946.96789999999</v>
      </c>
      <c r="U87" s="312">
        <v>254946.96789999999</v>
      </c>
      <c r="V87" s="312">
        <v>254946.96789999999</v>
      </c>
      <c r="W87" s="312">
        <v>254946.96789999999</v>
      </c>
      <c r="X87" s="312">
        <v>254946.96789999999</v>
      </c>
      <c r="Y87" s="312">
        <v>254946.96789999999</v>
      </c>
      <c r="Z87" s="312">
        <v>254946.96789999999</v>
      </c>
      <c r="AA87" s="312">
        <v>254946.96789999999</v>
      </c>
      <c r="AB87" s="312">
        <v>254946.96789999999</v>
      </c>
      <c r="AC87" s="312">
        <v>254946.96789999999</v>
      </c>
      <c r="AD87" s="312">
        <v>254946.96789999999</v>
      </c>
      <c r="AE87" s="312">
        <v>254946.96789999999</v>
      </c>
      <c r="AF87" s="312">
        <v>254946.96789999999</v>
      </c>
      <c r="AG87" s="312">
        <v>254946.96789999999</v>
      </c>
      <c r="AH87" s="312">
        <v>254946.96789999999</v>
      </c>
      <c r="AI87" s="312">
        <v>254946.96789999999</v>
      </c>
      <c r="AJ87" s="312">
        <v>254946.96789999999</v>
      </c>
      <c r="AK87" s="312">
        <v>254946.96789999999</v>
      </c>
      <c r="AL87" s="312">
        <v>254946.96789999999</v>
      </c>
    </row>
    <row r="88" spans="1:40" ht="3.75" customHeight="1">
      <c r="E88" s="52"/>
      <c r="F88" s="64"/>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row>
    <row r="89" spans="1:40">
      <c r="C89" s="412"/>
      <c r="E89" s="60" t="s">
        <v>217</v>
      </c>
      <c r="F89" s="331"/>
      <c r="G89" s="333"/>
      <c r="H89" s="333"/>
      <c r="I89" s="333"/>
      <c r="J89" s="333"/>
      <c r="K89" s="333"/>
      <c r="L89" s="333"/>
      <c r="M89" s="333"/>
      <c r="N89" s="333"/>
      <c r="O89" s="333"/>
      <c r="P89" s="333"/>
      <c r="Q89" s="333"/>
      <c r="R89" s="333"/>
      <c r="S89" s="333"/>
      <c r="T89" s="333"/>
      <c r="U89" s="333"/>
      <c r="V89" s="333"/>
      <c r="W89" s="333"/>
      <c r="X89" s="333"/>
      <c r="Y89" s="333"/>
      <c r="Z89" s="333"/>
      <c r="AA89" s="333"/>
      <c r="AB89" s="333"/>
      <c r="AC89" s="333"/>
      <c r="AD89" s="333"/>
      <c r="AE89" s="333"/>
      <c r="AF89" s="333"/>
      <c r="AG89" s="333"/>
      <c r="AH89" s="333"/>
      <c r="AI89" s="333"/>
      <c r="AJ89" s="333"/>
      <c r="AK89" s="333"/>
      <c r="AL89" s="333"/>
    </row>
    <row r="90" spans="1:40">
      <c r="C90" s="412"/>
      <c r="E90" s="53" t="s">
        <v>397</v>
      </c>
      <c r="F90" s="331"/>
      <c r="G90" s="338"/>
      <c r="H90" s="333"/>
      <c r="I90" s="338">
        <v>4.4128832173648096</v>
      </c>
      <c r="J90" s="338">
        <v>4.3187830523081328</v>
      </c>
      <c r="K90" s="338">
        <v>4.223224334693076</v>
      </c>
      <c r="L90" s="338">
        <v>4.126184456954987</v>
      </c>
      <c r="M90" s="338">
        <v>4.0276404611119574</v>
      </c>
      <c r="N90" s="338">
        <v>3.9275690333333602</v>
      </c>
      <c r="O90" s="338">
        <v>3.8259464984241944</v>
      </c>
      <c r="P90" s="338">
        <v>3.7227488142239373</v>
      </c>
      <c r="Q90" s="338">
        <v>3.6179515659185757</v>
      </c>
      <c r="R90" s="338">
        <v>3.5115299602644812</v>
      </c>
      <c r="S90" s="338">
        <v>3.4034588197227484</v>
      </c>
      <c r="T90" s="338">
        <v>3.2937125765026187</v>
      </c>
      <c r="U90" s="338">
        <v>3.182265266512577</v>
      </c>
      <c r="V90" s="338">
        <v>3.0690905232176893</v>
      </c>
      <c r="W90" s="338">
        <v>2.9541615714017309</v>
      </c>
      <c r="X90" s="338">
        <v>2.8374512208326252</v>
      </c>
      <c r="Y90" s="338">
        <v>2.7189318598296981</v>
      </c>
      <c r="Z90" s="338">
        <v>2.5985754487312267</v>
      </c>
      <c r="AA90" s="338">
        <v>2.4763535132607282</v>
      </c>
      <c r="AB90" s="338">
        <v>2.3522371377904374</v>
      </c>
      <c r="AC90" s="338">
        <v>2.2261969585003571</v>
      </c>
      <c r="AD90" s="338">
        <v>2.0982031564312797</v>
      </c>
      <c r="AE90" s="338">
        <v>1.9682254504301326</v>
      </c>
      <c r="AF90" s="338">
        <v>1.8362330899859682</v>
      </c>
      <c r="AG90" s="338">
        <v>1.7021948479549183</v>
      </c>
      <c r="AH90" s="338">
        <v>1.5797599683465746</v>
      </c>
      <c r="AI90" s="338">
        <v>1.5797599683465746</v>
      </c>
      <c r="AJ90" s="338">
        <v>1.5797599683465746</v>
      </c>
      <c r="AK90" s="338">
        <v>1.5797599683465746</v>
      </c>
      <c r="AL90" s="338">
        <v>1.5797599683465746</v>
      </c>
    </row>
    <row r="91" spans="1:40">
      <c r="C91" s="412"/>
      <c r="E91" s="53" t="s">
        <v>396</v>
      </c>
      <c r="F91" s="331"/>
      <c r="G91" s="338"/>
      <c r="H91" s="333"/>
      <c r="I91" s="338">
        <v>4.3052519193803027</v>
      </c>
      <c r="J91" s="338">
        <v>4.2134468803006175</v>
      </c>
      <c r="K91" s="338">
        <v>4.1202188631151966</v>
      </c>
      <c r="L91" s="338">
        <v>4.0255458116634024</v>
      </c>
      <c r="M91" s="338">
        <v>3.9294053279141048</v>
      </c>
      <c r="N91" s="338">
        <v>3.8317746666666932</v>
      </c>
      <c r="O91" s="338">
        <v>3.7326307301699462</v>
      </c>
      <c r="P91" s="338">
        <v>3.6319500626575003</v>
      </c>
      <c r="Q91" s="338">
        <v>3.5297088447986109</v>
      </c>
      <c r="R91" s="338">
        <v>3.4258828880629086</v>
      </c>
      <c r="S91" s="338">
        <v>3.3204476289978038</v>
      </c>
      <c r="T91" s="338">
        <v>3.2133781234171894</v>
      </c>
      <c r="U91" s="338">
        <v>3.1046490405000755</v>
      </c>
      <c r="V91" s="338">
        <v>2.994234656797746</v>
      </c>
      <c r="W91" s="338">
        <v>2.8821088501480303</v>
      </c>
      <c r="X91" s="338">
        <v>2.7682450934952443</v>
      </c>
      <c r="Y91" s="338">
        <v>2.65261644861434</v>
      </c>
      <c r="Z91" s="338">
        <v>2.5351955597377822</v>
      </c>
      <c r="AA91" s="338">
        <v>2.4159546470836375</v>
      </c>
      <c r="AB91" s="338">
        <v>2.2948655002833536</v>
      </c>
      <c r="AC91" s="338">
        <v>2.1718994717076656</v>
      </c>
      <c r="AD91" s="338">
        <v>2.0470274696890538</v>
      </c>
      <c r="AE91" s="338">
        <v>1.920219951639154</v>
      </c>
      <c r="AF91" s="338">
        <v>1.7914469170594813</v>
      </c>
      <c r="AG91" s="338">
        <v>1.6606779004438228</v>
      </c>
      <c r="AH91" s="338">
        <v>1.5412292374112924</v>
      </c>
      <c r="AI91" s="338">
        <v>1.5412292374112924</v>
      </c>
      <c r="AJ91" s="338">
        <v>1.5412292374112924</v>
      </c>
      <c r="AK91" s="338">
        <v>1.5412292374112924</v>
      </c>
      <c r="AL91" s="338">
        <v>1.5412292374112924</v>
      </c>
    </row>
    <row r="92" spans="1:40">
      <c r="C92" s="412"/>
      <c r="E92" s="53" t="s">
        <v>67</v>
      </c>
      <c r="F92" s="331"/>
      <c r="G92" s="338"/>
      <c r="H92" s="333"/>
      <c r="I92" s="338">
        <v>0.26</v>
      </c>
      <c r="J92" s="338">
        <v>0.26400000000000001</v>
      </c>
      <c r="K92" s="338">
        <v>0.26400000000000001</v>
      </c>
      <c r="L92" s="338">
        <v>0.26400000000000001</v>
      </c>
      <c r="M92" s="338">
        <v>0.26400000000000001</v>
      </c>
      <c r="N92" s="338">
        <v>0.26400000000000001</v>
      </c>
      <c r="O92" s="338">
        <v>0.26400000000000001</v>
      </c>
      <c r="P92" s="338">
        <v>0.26400000000000001</v>
      </c>
      <c r="Q92" s="338">
        <v>0.26400000000000001</v>
      </c>
      <c r="R92" s="338">
        <v>0.26400000000000001</v>
      </c>
      <c r="S92" s="338">
        <v>0.26400000000000001</v>
      </c>
      <c r="T92" s="338">
        <v>0.26400000000000001</v>
      </c>
      <c r="U92" s="338">
        <v>0.26400000000000001</v>
      </c>
      <c r="V92" s="338">
        <v>0.26400000000000001</v>
      </c>
      <c r="W92" s="338">
        <v>0.26400000000000001</v>
      </c>
      <c r="X92" s="338">
        <v>0.26400000000000001</v>
      </c>
      <c r="Y92" s="338">
        <v>0.26400000000000001</v>
      </c>
      <c r="Z92" s="338">
        <v>0.26400000000000001</v>
      </c>
      <c r="AA92" s="338">
        <v>0.26400000000000001</v>
      </c>
      <c r="AB92" s="338">
        <v>0.26400000000000001</v>
      </c>
      <c r="AC92" s="338">
        <v>0.26400000000000001</v>
      </c>
      <c r="AD92" s="338">
        <v>0.26400000000000001</v>
      </c>
      <c r="AE92" s="338">
        <v>0.26400000000000001</v>
      </c>
      <c r="AF92" s="338">
        <v>0.26400000000000001</v>
      </c>
      <c r="AG92" s="338">
        <v>0.26400000000000001</v>
      </c>
      <c r="AH92" s="338">
        <v>0.26400000000000001</v>
      </c>
      <c r="AI92" s="338">
        <v>0.26400000000000001</v>
      </c>
      <c r="AJ92" s="338">
        <v>0.26400000000000001</v>
      </c>
      <c r="AK92" s="338">
        <v>0.26400000000000001</v>
      </c>
      <c r="AL92" s="338">
        <v>0.26400000000000001</v>
      </c>
    </row>
    <row r="93" spans="1:40">
      <c r="C93" s="412"/>
      <c r="E93" s="53" t="s">
        <v>68</v>
      </c>
      <c r="F93" s="331"/>
      <c r="G93" s="338"/>
      <c r="H93" s="333"/>
      <c r="I93" s="338">
        <v>0</v>
      </c>
      <c r="J93" s="338">
        <v>0</v>
      </c>
      <c r="K93" s="338">
        <v>65.749295517353417</v>
      </c>
      <c r="L93" s="338">
        <v>63.250822287693985</v>
      </c>
      <c r="M93" s="338">
        <v>60.910541863049303</v>
      </c>
      <c r="N93" s="338">
        <v>58.717762355979524</v>
      </c>
      <c r="O93" s="338">
        <v>56.662640673520237</v>
      </c>
      <c r="P93" s="338">
        <v>54.736110890620544</v>
      </c>
      <c r="Q93" s="338">
        <v>52.929819231230063</v>
      </c>
      <c r="R93" s="338">
        <v>51.236065015830697</v>
      </c>
      <c r="S93" s="338">
        <v>49.64774700033994</v>
      </c>
      <c r="T93" s="338">
        <v>48.158314590329738</v>
      </c>
      <c r="U93" s="338">
        <v>46.761723467210174</v>
      </c>
      <c r="V93" s="338">
        <v>45.452395210128287</v>
      </c>
      <c r="W93" s="338">
        <v>44.225180539454826</v>
      </c>
      <c r="X93" s="338">
        <v>43.075325845428999</v>
      </c>
      <c r="Y93" s="338">
        <v>41.998442699293271</v>
      </c>
      <c r="Z93" s="338">
        <v>40.990480074510231</v>
      </c>
      <c r="AA93" s="338">
        <v>40.047699032796494</v>
      </c>
      <c r="AB93" s="338">
        <v>39.166649654074973</v>
      </c>
      <c r="AC93" s="338">
        <v>38.344150011339401</v>
      </c>
      <c r="AD93" s="338">
        <v>37.57726701111261</v>
      </c>
      <c r="AE93" s="338">
        <v>36.863298937901469</v>
      </c>
      <c r="AF93" s="338">
        <v>36.199759557019242</v>
      </c>
      <c r="AG93" s="338">
        <v>35.584363644549917</v>
      </c>
      <c r="AH93" s="338">
        <v>35.015013826237116</v>
      </c>
      <c r="AI93" s="338">
        <v>35</v>
      </c>
      <c r="AJ93" s="338">
        <v>35</v>
      </c>
      <c r="AK93" s="338">
        <v>35</v>
      </c>
      <c r="AL93" s="338">
        <v>35</v>
      </c>
    </row>
    <row r="94" spans="1:40">
      <c r="C94" s="412"/>
      <c r="E94" s="53" t="s">
        <v>69</v>
      </c>
      <c r="F94" s="331"/>
      <c r="G94" s="338"/>
      <c r="H94" s="333"/>
      <c r="I94" s="338">
        <v>0</v>
      </c>
      <c r="J94" s="338">
        <v>0</v>
      </c>
      <c r="K94" s="338">
        <v>8.609137656377662</v>
      </c>
      <c r="L94" s="338">
        <v>8.3112614934669953</v>
      </c>
      <c r="M94" s="338">
        <v>8.0320031072865046</v>
      </c>
      <c r="N94" s="338">
        <v>7.7701598059889649</v>
      </c>
      <c r="O94" s="338">
        <v>7.5246227561197143</v>
      </c>
      <c r="P94" s="338">
        <v>7.294369299782451</v>
      </c>
      <c r="Q94" s="338">
        <v>7.0784559685088908</v>
      </c>
      <c r="R94" s="338">
        <v>6.8760121278095365</v>
      </c>
      <c r="S94" s="338">
        <v>6.6862341930819937</v>
      </c>
      <c r="T94" s="338">
        <v>6.5083803635460127</v>
      </c>
      <c r="U94" s="338">
        <v>6.3417658262392349</v>
      </c>
      <c r="V94" s="338">
        <v>6.1857583869137498</v>
      </c>
      <c r="W94" s="338">
        <v>6.0397744889825855</v>
      </c>
      <c r="X94" s="338">
        <v>5.9032755855315795</v>
      </c>
      <c r="Y94" s="338">
        <v>5.7757648328840974</v>
      </c>
      <c r="Z94" s="338">
        <v>5.6567840773266855</v>
      </c>
      <c r="AA94" s="338">
        <v>5.5459111094110831</v>
      </c>
      <c r="AB94" s="338">
        <v>5.4427571627760374</v>
      </c>
      <c r="AC94" s="338">
        <v>5.3469646367111796</v>
      </c>
      <c r="AD94" s="338">
        <v>5.2582050237417741</v>
      </c>
      <c r="AE94" s="338">
        <v>5.1761770253714028</v>
      </c>
      <c r="AF94" s="338">
        <v>5.1006048408009805</v>
      </c>
      <c r="AG94" s="338">
        <v>5.0312366149660877</v>
      </c>
      <c r="AH94" s="338">
        <v>5</v>
      </c>
      <c r="AI94" s="338">
        <v>5</v>
      </c>
      <c r="AJ94" s="338">
        <v>5</v>
      </c>
      <c r="AK94" s="338">
        <v>5</v>
      </c>
      <c r="AL94" s="338">
        <v>5</v>
      </c>
    </row>
    <row r="95" spans="1:40" s="60" customFormat="1">
      <c r="A95" s="59"/>
      <c r="C95" s="420"/>
      <c r="E95" s="52" t="s">
        <v>218</v>
      </c>
      <c r="F95" s="339"/>
      <c r="G95" s="66"/>
      <c r="H95" s="340"/>
      <c r="I95" s="266">
        <v>1.6318452706226321</v>
      </c>
      <c r="J95" s="266">
        <v>1.6711699783029172</v>
      </c>
      <c r="K95" s="266">
        <v>1.8271743687776718</v>
      </c>
      <c r="L95" s="266">
        <v>1.8272360743632827</v>
      </c>
      <c r="M95" s="266">
        <v>1.8554628289868791</v>
      </c>
      <c r="N95" s="266">
        <v>1.8402973853719808</v>
      </c>
      <c r="O95" s="266">
        <v>1.8045253129967596</v>
      </c>
      <c r="P95" s="266">
        <v>1.7678284680145151</v>
      </c>
      <c r="Q95" s="266">
        <v>1.7310049819052489</v>
      </c>
      <c r="R95" s="266">
        <v>1.6853464769533104</v>
      </c>
      <c r="S95" s="266">
        <v>1.6391720447604867</v>
      </c>
      <c r="T95" s="266">
        <v>1.5929324397697819</v>
      </c>
      <c r="U95" s="266">
        <v>1.5465882483489712</v>
      </c>
      <c r="V95" s="266">
        <v>1.5001022468899969</v>
      </c>
      <c r="W95" s="266">
        <v>1.4534392217753096</v>
      </c>
      <c r="X95" s="266">
        <v>1.4065658051081218</v>
      </c>
      <c r="Y95" s="266">
        <v>1.359450324786688</v>
      </c>
      <c r="Z95" s="266">
        <v>1.312062667643578</v>
      </c>
      <c r="AA95" s="266">
        <v>1.2643741544975013</v>
      </c>
      <c r="AB95" s="266">
        <v>1.2163574260792007</v>
      </c>
      <c r="AC95" s="266">
        <v>1.167986338895554</v>
      </c>
      <c r="AD95" s="266">
        <v>1.1192358701885894</v>
      </c>
      <c r="AE95" s="266">
        <v>1.0700820312296784</v>
      </c>
      <c r="AF95" s="266">
        <v>1.0205017882647118</v>
      </c>
      <c r="AG95" s="266">
        <v>0.97047299049445335</v>
      </c>
      <c r="AH95" s="266">
        <v>0.92591028492870997</v>
      </c>
      <c r="AI95" s="266">
        <v>0.92589546160881542</v>
      </c>
      <c r="AJ95" s="266">
        <v>0.92589546160881542</v>
      </c>
      <c r="AK95" s="266">
        <v>0.92589546160881542</v>
      </c>
      <c r="AL95" s="266">
        <v>0.92589546160881542</v>
      </c>
      <c r="AN95" s="59"/>
    </row>
    <row r="96" spans="1:40" ht="3.75" customHeight="1">
      <c r="C96" s="412"/>
      <c r="E96" s="52"/>
      <c r="F96" s="64"/>
      <c r="G96" s="65"/>
      <c r="H96" s="65"/>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row>
    <row r="97" spans="3:38">
      <c r="C97" s="412"/>
      <c r="E97" s="53" t="s">
        <v>397</v>
      </c>
      <c r="F97" s="331"/>
      <c r="G97" s="314"/>
      <c r="H97" s="333"/>
      <c r="I97" s="314">
        <v>2550.8907497004179</v>
      </c>
      <c r="J97" s="314">
        <v>7462.8718455799599</v>
      </c>
      <c r="K97" s="314">
        <v>10845.109923618487</v>
      </c>
      <c r="L97" s="314">
        <v>12497.973627510451</v>
      </c>
      <c r="M97" s="314">
        <v>12282.249309756302</v>
      </c>
      <c r="N97" s="314">
        <v>11977.082491459747</v>
      </c>
      <c r="O97" s="314">
        <v>11667.185587479597</v>
      </c>
      <c r="P97" s="314">
        <v>11352.485281487754</v>
      </c>
      <c r="Q97" s="314">
        <v>11032.907120753036</v>
      </c>
      <c r="R97" s="314">
        <v>10708.375498526932</v>
      </c>
      <c r="S97" s="314">
        <v>10378.813636156323</v>
      </c>
      <c r="T97" s="314">
        <v>10044.14356491897</v>
      </c>
      <c r="U97" s="314">
        <v>9704.2861075774381</v>
      </c>
      <c r="V97" s="314">
        <v>9359.1608596471106</v>
      </c>
      <c r="W97" s="314">
        <v>9008.6861703738632</v>
      </c>
      <c r="X97" s="314">
        <v>8652.7791234168817</v>
      </c>
      <c r="Y97" s="314">
        <v>8291.3555172320648</v>
      </c>
      <c r="Z97" s="314">
        <v>7924.3298451513883</v>
      </c>
      <c r="AA97" s="314">
        <v>7551.6152751534573</v>
      </c>
      <c r="AB97" s="314">
        <v>7173.1236293205602</v>
      </c>
      <c r="AC97" s="314">
        <v>6788.765362977254</v>
      </c>
      <c r="AD97" s="314">
        <v>6398.4495435056224</v>
      </c>
      <c r="AE97" s="314">
        <v>6002.0838288321847</v>
      </c>
      <c r="AF97" s="314">
        <v>5599.5744455813101</v>
      </c>
      <c r="AG97" s="314">
        <v>5190.8261668900432</v>
      </c>
      <c r="AH97" s="314">
        <v>4817.4622258731952</v>
      </c>
      <c r="AI97" s="314">
        <v>4817.4622258731952</v>
      </c>
      <c r="AJ97" s="314">
        <v>4817.4622258731952</v>
      </c>
      <c r="AK97" s="314">
        <v>4817.4622258731952</v>
      </c>
      <c r="AL97" s="314">
        <v>4817.4622258731952</v>
      </c>
    </row>
    <row r="98" spans="3:38">
      <c r="C98" s="412"/>
      <c r="E98" s="53" t="s">
        <v>396</v>
      </c>
      <c r="F98" s="331"/>
      <c r="G98" s="314"/>
      <c r="H98" s="333"/>
      <c r="I98" s="314">
        <v>7466.0217064402477</v>
      </c>
      <c r="J98" s="314">
        <v>21842.551743160857</v>
      </c>
      <c r="K98" s="314">
        <v>31741.78514229802</v>
      </c>
      <c r="L98" s="314">
        <v>36579.435007347667</v>
      </c>
      <c r="M98" s="314">
        <v>35948.046760262347</v>
      </c>
      <c r="N98" s="314">
        <v>35054.875584760237</v>
      </c>
      <c r="O98" s="314">
        <v>34147.860256037842</v>
      </c>
      <c r="P98" s="314">
        <v>33226.78618972026</v>
      </c>
      <c r="Q98" s="314">
        <v>32291.435475374747</v>
      </c>
      <c r="R98" s="314">
        <v>31341.586824956874</v>
      </c>
      <c r="S98" s="314">
        <v>30377.015520457535</v>
      </c>
      <c r="T98" s="314">
        <v>29397.493360738452</v>
      </c>
      <c r="U98" s="314">
        <v>28402.788607543724</v>
      </c>
      <c r="V98" s="314">
        <v>27392.665930674473</v>
      </c>
      <c r="W98" s="314">
        <v>26366.886352313748</v>
      </c>
      <c r="X98" s="314">
        <v>25325.207190488436</v>
      </c>
      <c r="Y98" s="314">
        <v>24267.382001654831</v>
      </c>
      <c r="Z98" s="314">
        <v>23193.160522394308</v>
      </c>
      <c r="AA98" s="314">
        <v>22102.288610205243</v>
      </c>
      <c r="AB98" s="314">
        <v>20994.508183377249</v>
      </c>
      <c r="AC98" s="314">
        <v>19869.557159933425</v>
      </c>
      <c r="AD98" s="314">
        <v>18727.169395626217</v>
      </c>
      <c r="AE98" s="314">
        <v>17567.074620972249</v>
      </c>
      <c r="AF98" s="314">
        <v>16388.998377311153</v>
      </c>
      <c r="AG98" s="314">
        <v>15192.661951873299</v>
      </c>
      <c r="AH98" s="314">
        <v>14099.889441580084</v>
      </c>
      <c r="AI98" s="314">
        <v>14099.889441580084</v>
      </c>
      <c r="AJ98" s="314">
        <v>14099.889441580084</v>
      </c>
      <c r="AK98" s="314">
        <v>14099.889441580084</v>
      </c>
      <c r="AL98" s="314">
        <v>14099.889441580084</v>
      </c>
    </row>
    <row r="99" spans="3:38">
      <c r="C99" s="412"/>
      <c r="E99" s="53" t="s">
        <v>67</v>
      </c>
      <c r="F99" s="331"/>
      <c r="G99" s="314"/>
      <c r="H99" s="333"/>
      <c r="I99" s="314">
        <v>1083.0168938630136</v>
      </c>
      <c r="J99" s="314">
        <v>3172.915985227397</v>
      </c>
      <c r="K99" s="314">
        <v>4539.9567767671233</v>
      </c>
      <c r="L99" s="314">
        <v>5449.8526671780828</v>
      </c>
      <c r="M99" s="314">
        <v>5474.4444480000002</v>
      </c>
      <c r="N99" s="314">
        <v>5474.4444480000002</v>
      </c>
      <c r="O99" s="314">
        <v>5474.4444480000002</v>
      </c>
      <c r="P99" s="314">
        <v>5474.4444480000002</v>
      </c>
      <c r="Q99" s="314">
        <v>5474.4444480000002</v>
      </c>
      <c r="R99" s="314">
        <v>5474.4444480000002</v>
      </c>
      <c r="S99" s="314">
        <v>5474.4444480000002</v>
      </c>
      <c r="T99" s="314">
        <v>5474.4444480000002</v>
      </c>
      <c r="U99" s="314">
        <v>5474.4444480000002</v>
      </c>
      <c r="V99" s="314">
        <v>5474.4444480000002</v>
      </c>
      <c r="W99" s="314">
        <v>5474.4444480000002</v>
      </c>
      <c r="X99" s="314">
        <v>5474.4444480000002</v>
      </c>
      <c r="Y99" s="314">
        <v>5474.4444480000002</v>
      </c>
      <c r="Z99" s="314">
        <v>5474.4444480000002</v>
      </c>
      <c r="AA99" s="314">
        <v>5474.4444480000002</v>
      </c>
      <c r="AB99" s="314">
        <v>5474.4444480000002</v>
      </c>
      <c r="AC99" s="314">
        <v>5474.4444480000002</v>
      </c>
      <c r="AD99" s="314">
        <v>5474.4444480000002</v>
      </c>
      <c r="AE99" s="314">
        <v>5474.4444480000002</v>
      </c>
      <c r="AF99" s="314">
        <v>5474.4444480000002</v>
      </c>
      <c r="AG99" s="314">
        <v>5474.4444480000002</v>
      </c>
      <c r="AH99" s="314">
        <v>5474.4444480000002</v>
      </c>
      <c r="AI99" s="314">
        <v>5474.4444480000002</v>
      </c>
      <c r="AJ99" s="314">
        <v>5474.4444480000002</v>
      </c>
      <c r="AK99" s="314">
        <v>5474.4444480000002</v>
      </c>
      <c r="AL99" s="314">
        <v>5474.4444480000002</v>
      </c>
    </row>
    <row r="100" spans="3:38">
      <c r="C100" s="412"/>
      <c r="E100" s="53" t="s">
        <v>68</v>
      </c>
      <c r="F100" s="331"/>
      <c r="G100" s="314"/>
      <c r="H100" s="333"/>
      <c r="I100" s="314">
        <v>0</v>
      </c>
      <c r="J100" s="314">
        <v>0</v>
      </c>
      <c r="K100" s="314">
        <v>630.47269674174504</v>
      </c>
      <c r="L100" s="314">
        <v>935.76559000971929</v>
      </c>
      <c r="M100" s="314">
        <v>1351.7133947690395</v>
      </c>
      <c r="N100" s="314">
        <v>1954.5775688360307</v>
      </c>
      <c r="O100" s="314">
        <v>1912.364122731308</v>
      </c>
      <c r="P100" s="314">
        <v>1847.3437425584434</v>
      </c>
      <c r="Q100" s="314">
        <v>1786.3813990540145</v>
      </c>
      <c r="R100" s="314">
        <v>1729.2171942842861</v>
      </c>
      <c r="S100" s="314">
        <v>1675.6114612614731</v>
      </c>
      <c r="T100" s="314">
        <v>1625.3431174236287</v>
      </c>
      <c r="U100" s="314">
        <v>1578.2081670183434</v>
      </c>
      <c r="V100" s="314">
        <v>1534.0183383418298</v>
      </c>
      <c r="W100" s="314">
        <v>1492.5998432066003</v>
      </c>
      <c r="X100" s="314">
        <v>1453.7922472832288</v>
      </c>
      <c r="Y100" s="314">
        <v>1417.4474411011479</v>
      </c>
      <c r="Z100" s="314">
        <v>1383.4287025147203</v>
      </c>
      <c r="AA100" s="314">
        <v>1351.6098423568817</v>
      </c>
      <c r="AB100" s="314">
        <v>1321.8744258250304</v>
      </c>
      <c r="AC100" s="314">
        <v>1294.1150628827047</v>
      </c>
      <c r="AD100" s="314">
        <v>1268.2327616250507</v>
      </c>
      <c r="AE100" s="314">
        <v>1244.1363391541745</v>
      </c>
      <c r="AF100" s="314">
        <v>1221.7418850493993</v>
      </c>
      <c r="AG100" s="314">
        <v>1200.9722730035596</v>
      </c>
      <c r="AH100" s="314">
        <v>1181.7567166355027</v>
      </c>
      <c r="AI100" s="314">
        <v>1181.25</v>
      </c>
      <c r="AJ100" s="314">
        <v>1181.25</v>
      </c>
      <c r="AK100" s="314">
        <v>1181.25</v>
      </c>
      <c r="AL100" s="314">
        <v>1181.25</v>
      </c>
    </row>
    <row r="101" spans="3:38">
      <c r="C101" s="412"/>
      <c r="E101" s="53" t="s">
        <v>69</v>
      </c>
      <c r="F101" s="331"/>
      <c r="G101" s="314"/>
      <c r="H101" s="333"/>
      <c r="I101" s="314">
        <v>0</v>
      </c>
      <c r="J101" s="314">
        <v>0</v>
      </c>
      <c r="K101" s="314">
        <v>3302.1349914873226</v>
      </c>
      <c r="L101" s="314">
        <v>6113.9005780709267</v>
      </c>
      <c r="M101" s="314">
        <v>7949.4825274171226</v>
      </c>
      <c r="N101" s="314">
        <v>8142.7017144952861</v>
      </c>
      <c r="O101" s="314">
        <v>8279.6619573330972</v>
      </c>
      <c r="P101" s="314">
        <v>8427.6195165106383</v>
      </c>
      <c r="Q101" s="314">
        <v>8587.0700777630227</v>
      </c>
      <c r="R101" s="314">
        <v>8357.8357164282916</v>
      </c>
      <c r="S101" s="314">
        <v>8127.1594506548709</v>
      </c>
      <c r="T101" s="314">
        <v>7910.9770092674516</v>
      </c>
      <c r="U101" s="314">
        <v>7708.455997830205</v>
      </c>
      <c r="V101" s="314">
        <v>7518.8279802835823</v>
      </c>
      <c r="W101" s="314">
        <v>7341.38363994889</v>
      </c>
      <c r="X101" s="314">
        <v>7175.4683696860457</v>
      </c>
      <c r="Y101" s="314">
        <v>7020.4782529008271</v>
      </c>
      <c r="Z101" s="314">
        <v>6875.8564008910707</v>
      </c>
      <c r="AA101" s="314">
        <v>6741.089615433606</v>
      </c>
      <c r="AB101" s="314">
        <v>6615.7053485865417</v>
      </c>
      <c r="AC101" s="314">
        <v>6499.2689344514192</v>
      </c>
      <c r="AD101" s="314">
        <v>6391.3810701395259</v>
      </c>
      <c r="AE101" s="314">
        <v>6291.6755254453492</v>
      </c>
      <c r="AF101" s="314">
        <v>6199.8170627738473</v>
      </c>
      <c r="AG101" s="314">
        <v>6115.4995507201238</v>
      </c>
      <c r="AH101" s="314">
        <v>6077.5312500000009</v>
      </c>
      <c r="AI101" s="314">
        <v>6077.5312500000009</v>
      </c>
      <c r="AJ101" s="314">
        <v>6077.5312500000009</v>
      </c>
      <c r="AK101" s="314">
        <v>6077.5312500000009</v>
      </c>
      <c r="AL101" s="314">
        <v>6077.5312500000009</v>
      </c>
    </row>
    <row r="102" spans="3:38">
      <c r="C102" s="412"/>
      <c r="E102" s="52" t="s">
        <v>219</v>
      </c>
      <c r="F102" s="331">
        <v>0</v>
      </c>
      <c r="G102" s="312">
        <v>0</v>
      </c>
      <c r="H102" s="333">
        <v>0</v>
      </c>
      <c r="I102" s="312">
        <v>11099.92935000368</v>
      </c>
      <c r="J102" s="312">
        <v>32478.339573968216</v>
      </c>
      <c r="K102" s="312">
        <v>51059.459530912696</v>
      </c>
      <c r="L102" s="312">
        <v>61576.927470116847</v>
      </c>
      <c r="M102" s="312">
        <v>63005.936440204816</v>
      </c>
      <c r="N102" s="312">
        <v>62603.6818075513</v>
      </c>
      <c r="O102" s="312">
        <v>61481.516371581842</v>
      </c>
      <c r="P102" s="312">
        <v>60328.679178277096</v>
      </c>
      <c r="Q102" s="312">
        <v>59172.238520944826</v>
      </c>
      <c r="R102" s="312">
        <v>57611.459682196386</v>
      </c>
      <c r="S102" s="312">
        <v>56033.044516530208</v>
      </c>
      <c r="T102" s="312">
        <v>54452.401500348511</v>
      </c>
      <c r="U102" s="312">
        <v>52868.183327969709</v>
      </c>
      <c r="V102" s="312">
        <v>51279.117556947</v>
      </c>
      <c r="W102" s="312">
        <v>49684.000453843095</v>
      </c>
      <c r="X102" s="312">
        <v>48081.691378874595</v>
      </c>
      <c r="Y102" s="312">
        <v>46471.107660888876</v>
      </c>
      <c r="Z102" s="312">
        <v>44851.219918951487</v>
      </c>
      <c r="AA102" s="312">
        <v>43221.047791149191</v>
      </c>
      <c r="AB102" s="312">
        <v>41579.656035109379</v>
      </c>
      <c r="AC102" s="312">
        <v>39926.150968244801</v>
      </c>
      <c r="AD102" s="312">
        <v>38259.677218896417</v>
      </c>
      <c r="AE102" s="312">
        <v>36579.414762403962</v>
      </c>
      <c r="AF102" s="312">
        <v>34884.576218715709</v>
      </c>
      <c r="AG102" s="312">
        <v>33174.404390487034</v>
      </c>
      <c r="AH102" s="312">
        <v>31651.084082088786</v>
      </c>
      <c r="AI102" s="312">
        <v>31650.577365453282</v>
      </c>
      <c r="AJ102" s="312">
        <v>31650.577365453282</v>
      </c>
      <c r="AK102" s="312">
        <v>31650.577365453282</v>
      </c>
      <c r="AL102" s="312">
        <v>31650.577365453282</v>
      </c>
    </row>
    <row r="103" spans="3:38" ht="3.75" customHeight="1">
      <c r="E103" s="52"/>
      <c r="F103" s="64"/>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row>
    <row r="104" spans="3:38">
      <c r="C104" s="51"/>
      <c r="E104" s="53" t="s">
        <v>397</v>
      </c>
      <c r="F104" s="331"/>
      <c r="G104" s="333"/>
      <c r="H104" s="333"/>
      <c r="I104" s="333">
        <v>12.637116782635191</v>
      </c>
      <c r="J104" s="333">
        <v>11.081216947691869</v>
      </c>
      <c r="K104" s="333">
        <v>11.176775665306927</v>
      </c>
      <c r="L104" s="333">
        <v>10.173815543045013</v>
      </c>
      <c r="M104" s="333">
        <v>10.272359538888043</v>
      </c>
      <c r="N104" s="333">
        <v>10.372430966666641</v>
      </c>
      <c r="O104" s="333">
        <v>10.474053501575806</v>
      </c>
      <c r="P104" s="333">
        <v>10.577251185776063</v>
      </c>
      <c r="Q104" s="333">
        <v>10.682048434081425</v>
      </c>
      <c r="R104" s="333">
        <v>10.78847003973552</v>
      </c>
      <c r="S104" s="333">
        <v>10.896541180277252</v>
      </c>
      <c r="T104" s="333">
        <v>11.006287423497382</v>
      </c>
      <c r="U104" s="333">
        <v>11.117734733487424</v>
      </c>
      <c r="V104" s="333">
        <v>11.230909476782312</v>
      </c>
      <c r="W104" s="333">
        <v>11.34583842859827</v>
      </c>
      <c r="X104" s="333">
        <v>11.462548779167376</v>
      </c>
      <c r="Y104" s="333">
        <v>11.581068140170302</v>
      </c>
      <c r="Z104" s="333">
        <v>11.701424551268774</v>
      </c>
      <c r="AA104" s="333">
        <v>11.823646486739273</v>
      </c>
      <c r="AB104" s="333">
        <v>11.947762862209563</v>
      </c>
      <c r="AC104" s="333">
        <v>12.073803041499644</v>
      </c>
      <c r="AD104" s="333">
        <v>12.201796843568721</v>
      </c>
      <c r="AE104" s="333">
        <v>12.331774549569868</v>
      </c>
      <c r="AF104" s="333">
        <v>12.463766910014032</v>
      </c>
      <c r="AG104" s="333">
        <v>12.597805152045083</v>
      </c>
      <c r="AH104" s="333">
        <v>12.720240031653425</v>
      </c>
      <c r="AI104" s="333">
        <v>12.720240031653425</v>
      </c>
      <c r="AJ104" s="333">
        <v>12.720240031653425</v>
      </c>
      <c r="AK104" s="333">
        <v>12.720240031653425</v>
      </c>
      <c r="AL104" s="333">
        <v>12.720240031653425</v>
      </c>
    </row>
    <row r="105" spans="3:38">
      <c r="C105" s="51"/>
      <c r="E105" s="53" t="s">
        <v>396</v>
      </c>
      <c r="F105" s="331"/>
      <c r="G105" s="333"/>
      <c r="H105" s="333"/>
      <c r="I105" s="333">
        <v>11.194748080619696</v>
      </c>
      <c r="J105" s="333">
        <v>9.7865531196993825</v>
      </c>
      <c r="K105" s="333">
        <v>9.8797811368848034</v>
      </c>
      <c r="L105" s="333">
        <v>8.9744541883365976</v>
      </c>
      <c r="M105" s="333">
        <v>9.0705946720858961</v>
      </c>
      <c r="N105" s="333">
        <v>9.1682253333333072</v>
      </c>
      <c r="O105" s="333">
        <v>9.2673692698300538</v>
      </c>
      <c r="P105" s="333">
        <v>9.3680499373424997</v>
      </c>
      <c r="Q105" s="333">
        <v>9.4702911552013891</v>
      </c>
      <c r="R105" s="333">
        <v>9.5741171119370918</v>
      </c>
      <c r="S105" s="333">
        <v>9.6795523710021953</v>
      </c>
      <c r="T105" s="333">
        <v>9.7866218765828101</v>
      </c>
      <c r="U105" s="333">
        <v>9.8953509594999254</v>
      </c>
      <c r="V105" s="333">
        <v>10.005765343202254</v>
      </c>
      <c r="W105" s="333">
        <v>10.117891149851969</v>
      </c>
      <c r="X105" s="333">
        <v>10.231754906504756</v>
      </c>
      <c r="Y105" s="333">
        <v>10.34738355138566</v>
      </c>
      <c r="Z105" s="333">
        <v>10.464804440262217</v>
      </c>
      <c r="AA105" s="333">
        <v>10.584045352916363</v>
      </c>
      <c r="AB105" s="333">
        <v>10.705134499716646</v>
      </c>
      <c r="AC105" s="333">
        <v>10.828100528292335</v>
      </c>
      <c r="AD105" s="333">
        <v>10.952972530310946</v>
      </c>
      <c r="AE105" s="333">
        <v>11.079780048360846</v>
      </c>
      <c r="AF105" s="333">
        <v>11.208553082940519</v>
      </c>
      <c r="AG105" s="333">
        <v>11.339322099556178</v>
      </c>
      <c r="AH105" s="333">
        <v>11.458770762588708</v>
      </c>
      <c r="AI105" s="333">
        <v>11.458770762588708</v>
      </c>
      <c r="AJ105" s="333">
        <v>11.458770762588708</v>
      </c>
      <c r="AK105" s="333">
        <v>11.458770762588708</v>
      </c>
      <c r="AL105" s="333">
        <v>11.458770762588708</v>
      </c>
    </row>
    <row r="106" spans="3:38">
      <c r="C106" s="51"/>
      <c r="E106" s="53" t="s">
        <v>67</v>
      </c>
      <c r="F106" s="331"/>
      <c r="G106" s="333"/>
      <c r="H106" s="333"/>
      <c r="I106" s="333">
        <v>0.74</v>
      </c>
      <c r="J106" s="333">
        <v>0.93599999999999994</v>
      </c>
      <c r="K106" s="333">
        <v>0.93599999999999994</v>
      </c>
      <c r="L106" s="333">
        <v>0.93599999999999994</v>
      </c>
      <c r="M106" s="333">
        <v>0.93599999999999994</v>
      </c>
      <c r="N106" s="333">
        <v>0.93599999999999994</v>
      </c>
      <c r="O106" s="333">
        <v>0.93599999999999994</v>
      </c>
      <c r="P106" s="333">
        <v>0.93599999999999994</v>
      </c>
      <c r="Q106" s="333">
        <v>0.93599999999999994</v>
      </c>
      <c r="R106" s="333">
        <v>0.93599999999999994</v>
      </c>
      <c r="S106" s="333">
        <v>0.93599999999999994</v>
      </c>
      <c r="T106" s="333">
        <v>0.93599999999999994</v>
      </c>
      <c r="U106" s="333">
        <v>0.93599999999999994</v>
      </c>
      <c r="V106" s="333">
        <v>0.93599999999999994</v>
      </c>
      <c r="W106" s="333">
        <v>0.93599999999999994</v>
      </c>
      <c r="X106" s="333">
        <v>0.93599999999999994</v>
      </c>
      <c r="Y106" s="333">
        <v>0.93599999999999994</v>
      </c>
      <c r="Z106" s="333">
        <v>0.93599999999999994</v>
      </c>
      <c r="AA106" s="333">
        <v>0.93599999999999994</v>
      </c>
      <c r="AB106" s="333">
        <v>0.93599999999999994</v>
      </c>
      <c r="AC106" s="333">
        <v>0.93599999999999994</v>
      </c>
      <c r="AD106" s="333">
        <v>0.93599999999999994</v>
      </c>
      <c r="AE106" s="333">
        <v>0.93599999999999994</v>
      </c>
      <c r="AF106" s="333">
        <v>0.93599999999999994</v>
      </c>
      <c r="AG106" s="333">
        <v>0.93599999999999994</v>
      </c>
      <c r="AH106" s="333">
        <v>0.93599999999999994</v>
      </c>
      <c r="AI106" s="333">
        <v>0.93599999999999994</v>
      </c>
      <c r="AJ106" s="333">
        <v>0.93599999999999994</v>
      </c>
      <c r="AK106" s="333">
        <v>0.93599999999999994</v>
      </c>
      <c r="AL106" s="333">
        <v>0.93599999999999994</v>
      </c>
    </row>
    <row r="107" spans="3:38">
      <c r="C107" s="51"/>
      <c r="E107" s="53" t="s">
        <v>68</v>
      </c>
      <c r="F107" s="331"/>
      <c r="G107" s="333"/>
      <c r="H107" s="333"/>
      <c r="I107" s="333">
        <v>0</v>
      </c>
      <c r="J107" s="333">
        <v>0</v>
      </c>
      <c r="K107" s="333">
        <v>434.2507044826466</v>
      </c>
      <c r="L107" s="333">
        <v>336.74917771230599</v>
      </c>
      <c r="M107" s="333">
        <v>314.08945813695073</v>
      </c>
      <c r="N107" s="333">
        <v>191.28223764402048</v>
      </c>
      <c r="O107" s="333">
        <v>143.33735932647977</v>
      </c>
      <c r="P107" s="333">
        <v>145.26388910937945</v>
      </c>
      <c r="Q107" s="333">
        <v>147.07018076876994</v>
      </c>
      <c r="R107" s="333">
        <v>148.76393498416931</v>
      </c>
      <c r="S107" s="333">
        <v>150.35225299966007</v>
      </c>
      <c r="T107" s="333">
        <v>151.84168540967028</v>
      </c>
      <c r="U107" s="333">
        <v>153.23827653278983</v>
      </c>
      <c r="V107" s="333">
        <v>154.54760478987171</v>
      </c>
      <c r="W107" s="333">
        <v>155.77481946054519</v>
      </c>
      <c r="X107" s="333">
        <v>156.92467415457099</v>
      </c>
      <c r="Y107" s="333">
        <v>158.00155730070674</v>
      </c>
      <c r="Z107" s="333">
        <v>159.00951992548977</v>
      </c>
      <c r="AA107" s="333">
        <v>159.95230096720351</v>
      </c>
      <c r="AB107" s="333">
        <v>160.83335034592503</v>
      </c>
      <c r="AC107" s="333">
        <v>161.65584998866061</v>
      </c>
      <c r="AD107" s="333">
        <v>162.42273298888739</v>
      </c>
      <c r="AE107" s="333">
        <v>163.13670106209852</v>
      </c>
      <c r="AF107" s="333">
        <v>163.80024044298077</v>
      </c>
      <c r="AG107" s="333">
        <v>164.41563635545009</v>
      </c>
      <c r="AH107" s="333">
        <v>164.98498617376288</v>
      </c>
      <c r="AI107" s="333">
        <v>165</v>
      </c>
      <c r="AJ107" s="333">
        <v>165</v>
      </c>
      <c r="AK107" s="333">
        <v>165</v>
      </c>
      <c r="AL107" s="333">
        <v>165</v>
      </c>
    </row>
    <row r="108" spans="3:38">
      <c r="C108" s="51"/>
      <c r="E108" s="53" t="s">
        <v>69</v>
      </c>
      <c r="F108" s="331"/>
      <c r="G108" s="333"/>
      <c r="H108" s="333"/>
      <c r="I108" s="333">
        <v>0</v>
      </c>
      <c r="J108" s="333">
        <v>0</v>
      </c>
      <c r="K108" s="333">
        <v>41.390862343622338</v>
      </c>
      <c r="L108" s="333">
        <v>41.688738506533007</v>
      </c>
      <c r="M108" s="333">
        <v>41.967996892713494</v>
      </c>
      <c r="N108" s="333">
        <v>42.229840194011032</v>
      </c>
      <c r="O108" s="333">
        <v>42.475377243880288</v>
      </c>
      <c r="P108" s="333">
        <v>42.705630700217547</v>
      </c>
      <c r="Q108" s="333">
        <v>42.921544031491109</v>
      </c>
      <c r="R108" s="333">
        <v>43.123987872190462</v>
      </c>
      <c r="S108" s="333">
        <v>43.313765806918006</v>
      </c>
      <c r="T108" s="333">
        <v>43.49161963645399</v>
      </c>
      <c r="U108" s="333">
        <v>43.658234173760768</v>
      </c>
      <c r="V108" s="333">
        <v>43.814241613086253</v>
      </c>
      <c r="W108" s="333">
        <v>43.960225511017413</v>
      </c>
      <c r="X108" s="333">
        <v>44.096724414468419</v>
      </c>
      <c r="Y108" s="333">
        <v>44.2242351671159</v>
      </c>
      <c r="Z108" s="333">
        <v>44.343215922673316</v>
      </c>
      <c r="AA108" s="333">
        <v>44.45408889058892</v>
      </c>
      <c r="AB108" s="333">
        <v>44.55724283722396</v>
      </c>
      <c r="AC108" s="333">
        <v>44.653035363288822</v>
      </c>
      <c r="AD108" s="333">
        <v>44.741794976258227</v>
      </c>
      <c r="AE108" s="333">
        <v>44.823822974628598</v>
      </c>
      <c r="AF108" s="333">
        <v>44.899395159199017</v>
      </c>
      <c r="AG108" s="333">
        <v>44.96876338503391</v>
      </c>
      <c r="AH108" s="333">
        <v>45</v>
      </c>
      <c r="AI108" s="333">
        <v>45</v>
      </c>
      <c r="AJ108" s="333">
        <v>45</v>
      </c>
      <c r="AK108" s="333">
        <v>45</v>
      </c>
      <c r="AL108" s="333">
        <v>45</v>
      </c>
    </row>
    <row r="109" spans="3:38">
      <c r="C109" s="51"/>
      <c r="E109" s="52" t="s">
        <v>220</v>
      </c>
      <c r="F109" s="339"/>
      <c r="G109" s="340"/>
      <c r="H109" s="340"/>
      <c r="I109" s="340">
        <v>4.3811557440907123</v>
      </c>
      <c r="J109" s="340">
        <v>4.1746088141882041</v>
      </c>
      <c r="K109" s="340">
        <v>5.0439543219413121</v>
      </c>
      <c r="L109" s="340">
        <v>4.9655458238213095</v>
      </c>
      <c r="M109" s="340">
        <v>5.3663156659423006</v>
      </c>
      <c r="N109" s="340">
        <v>5.4540487916642046</v>
      </c>
      <c r="O109" s="340">
        <v>5.5093388431660628</v>
      </c>
      <c r="P109" s="340">
        <v>5.6148304063242618</v>
      </c>
      <c r="Q109" s="340">
        <v>5.7236495504471989</v>
      </c>
      <c r="R109" s="340">
        <v>5.7727873132755008</v>
      </c>
      <c r="S109" s="340">
        <v>5.8189617454683251</v>
      </c>
      <c r="T109" s="340">
        <v>5.8652013504590297</v>
      </c>
      <c r="U109" s="340">
        <v>5.9115455418798399</v>
      </c>
      <c r="V109" s="340">
        <v>5.958031543338814</v>
      </c>
      <c r="W109" s="340">
        <v>6.0046945684535018</v>
      </c>
      <c r="X109" s="340">
        <v>6.0515679851206894</v>
      </c>
      <c r="Y109" s="340">
        <v>6.0986834654421234</v>
      </c>
      <c r="Z109" s="340">
        <v>6.1460711225852336</v>
      </c>
      <c r="AA109" s="340">
        <v>6.1937596357313103</v>
      </c>
      <c r="AB109" s="340">
        <v>6.2417763641496107</v>
      </c>
      <c r="AC109" s="340">
        <v>6.2901474513332571</v>
      </c>
      <c r="AD109" s="340">
        <v>6.338897920040222</v>
      </c>
      <c r="AE109" s="340">
        <v>6.3880517589991328</v>
      </c>
      <c r="AF109" s="340">
        <v>6.4376320019640998</v>
      </c>
      <c r="AG109" s="340">
        <v>6.4876607997343578</v>
      </c>
      <c r="AH109" s="340">
        <v>6.5322235053001014</v>
      </c>
      <c r="AI109" s="340">
        <v>6.5322383286199956</v>
      </c>
      <c r="AJ109" s="340">
        <v>6.5322383286199956</v>
      </c>
      <c r="AK109" s="340">
        <v>6.5322383286199956</v>
      </c>
      <c r="AL109" s="340">
        <v>6.5322383286199956</v>
      </c>
    </row>
    <row r="110" spans="3:38" ht="3.75" customHeight="1">
      <c r="E110" s="52"/>
      <c r="F110" s="64"/>
      <c r="G110" s="65"/>
      <c r="H110" s="65"/>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row>
    <row r="111" spans="3:38">
      <c r="C111" s="51"/>
      <c r="E111" s="53" t="s">
        <v>397</v>
      </c>
      <c r="F111" s="311"/>
      <c r="G111" s="314"/>
      <c r="H111" s="312"/>
      <c r="I111" s="314">
        <v>7304.9529561214986</v>
      </c>
      <c r="J111" s="314">
        <v>19148.380683187163</v>
      </c>
      <c r="K111" s="314">
        <v>28701.615418847265</v>
      </c>
      <c r="L111" s="314">
        <v>30815.897756051192</v>
      </c>
      <c r="M111" s="314">
        <v>31325.4576902437</v>
      </c>
      <c r="N111" s="314">
        <v>31630.624508540255</v>
      </c>
      <c r="O111" s="314">
        <v>31940.521412520407</v>
      </c>
      <c r="P111" s="314">
        <v>32255.22171851225</v>
      </c>
      <c r="Q111" s="314">
        <v>32574.799879246966</v>
      </c>
      <c r="R111" s="314">
        <v>32899.331501473069</v>
      </c>
      <c r="S111" s="314">
        <v>33228.893363843679</v>
      </c>
      <c r="T111" s="314">
        <v>33563.563435081029</v>
      </c>
      <c r="U111" s="314">
        <v>33903.420892422568</v>
      </c>
      <c r="V111" s="314">
        <v>34248.54614035289</v>
      </c>
      <c r="W111" s="314">
        <v>34599.020829626141</v>
      </c>
      <c r="X111" s="314">
        <v>34954.927876583119</v>
      </c>
      <c r="Y111" s="314">
        <v>35316.351482767939</v>
      </c>
      <c r="Z111" s="314">
        <v>35683.377154848611</v>
      </c>
      <c r="AA111" s="314">
        <v>36056.091724846541</v>
      </c>
      <c r="AB111" s="314">
        <v>36434.583370679444</v>
      </c>
      <c r="AC111" s="314">
        <v>36818.941637022748</v>
      </c>
      <c r="AD111" s="314">
        <v>37209.257456494379</v>
      </c>
      <c r="AE111" s="314">
        <v>37605.623171167819</v>
      </c>
      <c r="AF111" s="314">
        <v>38008.132554418691</v>
      </c>
      <c r="AG111" s="314">
        <v>38416.880833109957</v>
      </c>
      <c r="AH111" s="314">
        <v>38790.244774126804</v>
      </c>
      <c r="AI111" s="314">
        <v>38790.244774126804</v>
      </c>
      <c r="AJ111" s="314">
        <v>38790.244774126804</v>
      </c>
      <c r="AK111" s="314">
        <v>38790.244774126804</v>
      </c>
      <c r="AL111" s="314">
        <v>38790.244774126804</v>
      </c>
    </row>
    <row r="112" spans="3:38">
      <c r="C112" s="51"/>
      <c r="E112" s="53" t="s">
        <v>396</v>
      </c>
      <c r="F112" s="311"/>
      <c r="G112" s="314"/>
      <c r="H112" s="312"/>
      <c r="I112" s="314">
        <v>19413.552036710433</v>
      </c>
      <c r="J112" s="314">
        <v>50733.591517113106</v>
      </c>
      <c r="K112" s="314">
        <v>76112.920337154035</v>
      </c>
      <c r="L112" s="314">
        <v>81549.305129638626</v>
      </c>
      <c r="M112" s="314">
        <v>82982.063239737647</v>
      </c>
      <c r="N112" s="314">
        <v>83875.234415239742</v>
      </c>
      <c r="O112" s="314">
        <v>84782.249743962137</v>
      </c>
      <c r="P112" s="314">
        <v>85703.323810279719</v>
      </c>
      <c r="Q112" s="314">
        <v>86638.674524625239</v>
      </c>
      <c r="R112" s="314">
        <v>87588.523175043112</v>
      </c>
      <c r="S112" s="314">
        <v>88553.094479542458</v>
      </c>
      <c r="T112" s="314">
        <v>89532.616639261541</v>
      </c>
      <c r="U112" s="314">
        <v>90527.321392456259</v>
      </c>
      <c r="V112" s="314">
        <v>91537.444069325516</v>
      </c>
      <c r="W112" s="314">
        <v>92563.223647686245</v>
      </c>
      <c r="X112" s="314">
        <v>93604.90280951155</v>
      </c>
      <c r="Y112" s="314">
        <v>94662.727998345159</v>
      </c>
      <c r="Z112" s="314">
        <v>95736.949477605682</v>
      </c>
      <c r="AA112" s="314">
        <v>96827.821389794743</v>
      </c>
      <c r="AB112" s="314">
        <v>97935.601816622744</v>
      </c>
      <c r="AC112" s="314">
        <v>99060.552840066564</v>
      </c>
      <c r="AD112" s="314">
        <v>100202.94060437377</v>
      </c>
      <c r="AE112" s="314">
        <v>101363.03537902774</v>
      </c>
      <c r="AF112" s="314">
        <v>102541.11162268883</v>
      </c>
      <c r="AG112" s="314">
        <v>103737.44804812668</v>
      </c>
      <c r="AH112" s="314">
        <v>104830.2205584199</v>
      </c>
      <c r="AI112" s="314">
        <v>104830.2205584199</v>
      </c>
      <c r="AJ112" s="314">
        <v>104830.2205584199</v>
      </c>
      <c r="AK112" s="314">
        <v>104830.2205584199</v>
      </c>
      <c r="AL112" s="314">
        <v>104830.2205584199</v>
      </c>
    </row>
    <row r="113" spans="3:38">
      <c r="C113" s="51"/>
      <c r="E113" s="53" t="s">
        <v>67</v>
      </c>
      <c r="F113" s="311"/>
      <c r="G113" s="314"/>
      <c r="H113" s="312"/>
      <c r="I113" s="314">
        <v>3082.4326979178081</v>
      </c>
      <c r="J113" s="314">
        <v>11249.429402169861</v>
      </c>
      <c r="K113" s="314">
        <v>16096.210390356164</v>
      </c>
      <c r="L113" s="314">
        <v>19322.204910904111</v>
      </c>
      <c r="M113" s="314">
        <v>19409.393951999999</v>
      </c>
      <c r="N113" s="314">
        <v>19409.393951999999</v>
      </c>
      <c r="O113" s="314">
        <v>19409.393951999999</v>
      </c>
      <c r="P113" s="314">
        <v>19409.393951999999</v>
      </c>
      <c r="Q113" s="314">
        <v>19409.393951999999</v>
      </c>
      <c r="R113" s="314">
        <v>19409.393951999999</v>
      </c>
      <c r="S113" s="314">
        <v>19409.393951999999</v>
      </c>
      <c r="T113" s="314">
        <v>19409.393951999999</v>
      </c>
      <c r="U113" s="314">
        <v>19409.393951999999</v>
      </c>
      <c r="V113" s="314">
        <v>19409.393951999999</v>
      </c>
      <c r="W113" s="314">
        <v>19409.393951999999</v>
      </c>
      <c r="X113" s="314">
        <v>19409.393951999999</v>
      </c>
      <c r="Y113" s="314">
        <v>19409.393951999999</v>
      </c>
      <c r="Z113" s="314">
        <v>19409.393951999999</v>
      </c>
      <c r="AA113" s="314">
        <v>19409.393951999999</v>
      </c>
      <c r="AB113" s="314">
        <v>19409.393951999999</v>
      </c>
      <c r="AC113" s="314">
        <v>19409.393951999999</v>
      </c>
      <c r="AD113" s="314">
        <v>19409.393951999999</v>
      </c>
      <c r="AE113" s="314">
        <v>19409.393951999999</v>
      </c>
      <c r="AF113" s="314">
        <v>19409.393951999999</v>
      </c>
      <c r="AG113" s="314">
        <v>19409.393951999999</v>
      </c>
      <c r="AH113" s="314">
        <v>19409.393951999999</v>
      </c>
      <c r="AI113" s="314">
        <v>19409.393951999999</v>
      </c>
      <c r="AJ113" s="314">
        <v>19409.393951999999</v>
      </c>
      <c r="AK113" s="314">
        <v>19409.393951999999</v>
      </c>
      <c r="AL113" s="314">
        <v>19409.393951999999</v>
      </c>
    </row>
    <row r="114" spans="3:38">
      <c r="C114" s="51"/>
      <c r="E114" s="53" t="s">
        <v>68</v>
      </c>
      <c r="F114" s="311"/>
      <c r="G114" s="314"/>
      <c r="H114" s="312"/>
      <c r="I114" s="314">
        <v>0</v>
      </c>
      <c r="J114" s="314">
        <v>0</v>
      </c>
      <c r="K114" s="314">
        <v>4164.0478512034606</v>
      </c>
      <c r="L114" s="314">
        <v>4982.0426291683634</v>
      </c>
      <c r="M114" s="314">
        <v>6970.2044134501393</v>
      </c>
      <c r="N114" s="314">
        <v>6367.3402393831466</v>
      </c>
      <c r="O114" s="314">
        <v>4837.6358772686917</v>
      </c>
      <c r="P114" s="314">
        <v>4902.6562574415566</v>
      </c>
      <c r="Q114" s="314">
        <v>4963.6186009459852</v>
      </c>
      <c r="R114" s="314">
        <v>5020.7828057157139</v>
      </c>
      <c r="S114" s="314">
        <v>5074.3885387385271</v>
      </c>
      <c r="T114" s="314">
        <v>5124.6568825763716</v>
      </c>
      <c r="U114" s="314">
        <v>5171.7918329816566</v>
      </c>
      <c r="V114" s="314">
        <v>5215.9816616581702</v>
      </c>
      <c r="W114" s="314">
        <v>5257.4001567933992</v>
      </c>
      <c r="X114" s="314">
        <v>5296.2077527167712</v>
      </c>
      <c r="Y114" s="314">
        <v>5332.5525588988521</v>
      </c>
      <c r="Z114" s="314">
        <v>5366.5712974852795</v>
      </c>
      <c r="AA114" s="314">
        <v>5398.3901576431181</v>
      </c>
      <c r="AB114" s="314">
        <v>5428.1255741749701</v>
      </c>
      <c r="AC114" s="314">
        <v>5455.8849371172955</v>
      </c>
      <c r="AD114" s="314">
        <v>5481.7672383749496</v>
      </c>
      <c r="AE114" s="314">
        <v>5505.8636608458255</v>
      </c>
      <c r="AF114" s="314">
        <v>5528.2581149506004</v>
      </c>
      <c r="AG114" s="314">
        <v>5549.0277269964408</v>
      </c>
      <c r="AH114" s="314">
        <v>5568.2432833644971</v>
      </c>
      <c r="AI114" s="314">
        <v>5568.75</v>
      </c>
      <c r="AJ114" s="314">
        <v>5568.75</v>
      </c>
      <c r="AK114" s="314">
        <v>5568.75</v>
      </c>
      <c r="AL114" s="314">
        <v>5568.75</v>
      </c>
    </row>
    <row r="115" spans="3:38">
      <c r="C115" s="51"/>
      <c r="E115" s="53" t="s">
        <v>69</v>
      </c>
      <c r="F115" s="311"/>
      <c r="G115" s="314"/>
      <c r="H115" s="312"/>
      <c r="I115" s="314">
        <v>0</v>
      </c>
      <c r="J115" s="314">
        <v>0</v>
      </c>
      <c r="K115" s="314">
        <v>15875.947200293498</v>
      </c>
      <c r="L115" s="314">
        <v>30666.921339737295</v>
      </c>
      <c r="M115" s="314">
        <v>41536.818842445893</v>
      </c>
      <c r="N115" s="314">
        <v>44254.558559477322</v>
      </c>
      <c r="O115" s="314">
        <v>46737.461330338134</v>
      </c>
      <c r="P115" s="314">
        <v>49340.359935544155</v>
      </c>
      <c r="Q115" s="314">
        <v>52069.308346894526</v>
      </c>
      <c r="R115" s="314">
        <v>52417.476783571714</v>
      </c>
      <c r="S115" s="314">
        <v>52648.153049345136</v>
      </c>
      <c r="T115" s="314">
        <v>52864.335490732556</v>
      </c>
      <c r="U115" s="314">
        <v>53066.856502169801</v>
      </c>
      <c r="V115" s="314">
        <v>53256.484519716425</v>
      </c>
      <c r="W115" s="314">
        <v>53433.928860051121</v>
      </c>
      <c r="X115" s="314">
        <v>53599.844130313963</v>
      </c>
      <c r="Y115" s="314">
        <v>53754.834247099177</v>
      </c>
      <c r="Z115" s="314">
        <v>53899.456099108938</v>
      </c>
      <c r="AA115" s="314">
        <v>54034.222884566399</v>
      </c>
      <c r="AB115" s="314">
        <v>54159.607151413467</v>
      </c>
      <c r="AC115" s="314">
        <v>54276.043565548585</v>
      </c>
      <c r="AD115" s="314">
        <v>54383.93142986048</v>
      </c>
      <c r="AE115" s="314">
        <v>54483.636974554654</v>
      </c>
      <c r="AF115" s="314">
        <v>54575.495437226156</v>
      </c>
      <c r="AG115" s="314">
        <v>54659.812949279883</v>
      </c>
      <c r="AH115" s="314">
        <v>54697.781250000007</v>
      </c>
      <c r="AI115" s="314">
        <v>54697.781250000007</v>
      </c>
      <c r="AJ115" s="314">
        <v>54697.781250000007</v>
      </c>
      <c r="AK115" s="314">
        <v>54697.781250000007</v>
      </c>
      <c r="AL115" s="314">
        <v>54697.781250000007</v>
      </c>
    </row>
    <row r="116" spans="3:38">
      <c r="C116" s="51"/>
      <c r="E116" s="52" t="s">
        <v>221</v>
      </c>
      <c r="F116" s="311">
        <v>0</v>
      </c>
      <c r="G116" s="312">
        <v>0</v>
      </c>
      <c r="H116" s="312">
        <v>0</v>
      </c>
      <c r="I116" s="312">
        <v>29800.937690749739</v>
      </c>
      <c r="J116" s="312">
        <v>81131.401602470127</v>
      </c>
      <c r="K116" s="312">
        <v>140950.74119785443</v>
      </c>
      <c r="L116" s="312">
        <v>167336.37176549959</v>
      </c>
      <c r="M116" s="312">
        <v>182223.93813787738</v>
      </c>
      <c r="N116" s="312">
        <v>185537.15167464045</v>
      </c>
      <c r="O116" s="312">
        <v>187707.26231608936</v>
      </c>
      <c r="P116" s="312">
        <v>191610.95567377767</v>
      </c>
      <c r="Q116" s="312">
        <v>195655.79530371272</v>
      </c>
      <c r="R116" s="312">
        <v>197335.50821780358</v>
      </c>
      <c r="S116" s="312">
        <v>198913.92338346981</v>
      </c>
      <c r="T116" s="312">
        <v>200494.56639965152</v>
      </c>
      <c r="U116" s="312">
        <v>202078.78457203027</v>
      </c>
      <c r="V116" s="312">
        <v>203667.850343053</v>
      </c>
      <c r="W116" s="312">
        <v>205262.96744615689</v>
      </c>
      <c r="X116" s="312">
        <v>206865.2765211254</v>
      </c>
      <c r="Y116" s="312">
        <v>208475.86023911109</v>
      </c>
      <c r="Z116" s="312">
        <v>210095.74798104851</v>
      </c>
      <c r="AA116" s="312">
        <v>211725.92010885081</v>
      </c>
      <c r="AB116" s="312">
        <v>213367.31186489062</v>
      </c>
      <c r="AC116" s="312">
        <v>215020.81693175519</v>
      </c>
      <c r="AD116" s="312">
        <v>216687.29068110356</v>
      </c>
      <c r="AE116" s="312">
        <v>218367.55313759606</v>
      </c>
      <c r="AF116" s="312">
        <v>220062.39168128429</v>
      </c>
      <c r="AG116" s="312">
        <v>221772.56350951293</v>
      </c>
      <c r="AH116" s="312">
        <v>223295.88381791118</v>
      </c>
      <c r="AI116" s="312">
        <v>223296.39053454669</v>
      </c>
      <c r="AJ116" s="312">
        <v>223296.39053454669</v>
      </c>
      <c r="AK116" s="312">
        <v>223296.39053454669</v>
      </c>
      <c r="AL116" s="312">
        <v>223296.39053454669</v>
      </c>
    </row>
    <row r="117" spans="3:38" ht="3.75" customHeight="1">
      <c r="E117" s="52"/>
      <c r="F117" s="311"/>
      <c r="G117" s="312"/>
      <c r="H117" s="312"/>
      <c r="I117" s="312"/>
      <c r="J117" s="312"/>
      <c r="K117" s="312"/>
      <c r="L117" s="312"/>
      <c r="M117" s="312"/>
      <c r="N117" s="312"/>
      <c r="O117" s="312"/>
      <c r="P117" s="312"/>
      <c r="Q117" s="312"/>
      <c r="R117" s="312"/>
      <c r="S117" s="312"/>
      <c r="T117" s="312"/>
      <c r="U117" s="312"/>
      <c r="V117" s="312"/>
      <c r="W117" s="312"/>
      <c r="X117" s="312"/>
      <c r="Y117" s="312"/>
      <c r="Z117" s="312"/>
      <c r="AA117" s="312"/>
      <c r="AB117" s="312"/>
      <c r="AC117" s="312"/>
      <c r="AD117" s="312"/>
      <c r="AE117" s="312"/>
      <c r="AF117" s="312"/>
      <c r="AG117" s="312"/>
      <c r="AH117" s="312"/>
      <c r="AI117" s="312"/>
      <c r="AJ117" s="312"/>
      <c r="AK117" s="312"/>
      <c r="AL117" s="312"/>
    </row>
    <row r="118" spans="3:38">
      <c r="C118" s="412"/>
      <c r="E118" s="53" t="s">
        <v>222</v>
      </c>
      <c r="F118" s="311"/>
      <c r="G118" s="314"/>
      <c r="H118" s="312"/>
      <c r="I118" s="314">
        <v>3776.3415384615382</v>
      </c>
      <c r="J118" s="314">
        <v>3889.6317846153843</v>
      </c>
      <c r="K118" s="314">
        <v>6428.2036478461532</v>
      </c>
      <c r="L118" s="314">
        <v>6621.0497572815375</v>
      </c>
      <c r="M118" s="314">
        <v>6819.6812499999833</v>
      </c>
      <c r="N118" s="314">
        <v>7024.2716874999824</v>
      </c>
      <c r="O118" s="314">
        <v>7234.9998381249825</v>
      </c>
      <c r="P118" s="314">
        <v>7452.0498332687321</v>
      </c>
      <c r="Q118" s="314">
        <v>7675.611328266793</v>
      </c>
      <c r="R118" s="314">
        <v>7905.8796681147969</v>
      </c>
      <c r="S118" s="314">
        <v>8143.0560581582413</v>
      </c>
      <c r="T118" s="314">
        <v>8387.3477399029889</v>
      </c>
      <c r="U118" s="314">
        <v>8638.9681721000779</v>
      </c>
      <c r="V118" s="314">
        <v>8898.1372172630781</v>
      </c>
      <c r="W118" s="314">
        <v>9165.0813337809723</v>
      </c>
      <c r="X118" s="314">
        <v>9440.0337737944028</v>
      </c>
      <c r="Y118" s="314">
        <v>9723.2347870082322</v>
      </c>
      <c r="Z118" s="314">
        <v>10014.93183061848</v>
      </c>
      <c r="AA118" s="314">
        <v>10315.379785537034</v>
      </c>
      <c r="AB118" s="314">
        <v>10624.841179103145</v>
      </c>
      <c r="AC118" s="314">
        <v>10943.586414476238</v>
      </c>
      <c r="AD118" s="314">
        <v>11271.894006910525</v>
      </c>
      <c r="AE118" s="314">
        <v>11610.050827117841</v>
      </c>
      <c r="AF118" s="314">
        <v>11958.352351931377</v>
      </c>
      <c r="AG118" s="314">
        <v>12317.102922489317</v>
      </c>
      <c r="AH118" s="314">
        <v>12686.616010163996</v>
      </c>
      <c r="AI118" s="314">
        <v>13067.214490468918</v>
      </c>
      <c r="AJ118" s="314">
        <v>13459.230925182985</v>
      </c>
      <c r="AK118" s="314">
        <v>13863.007852938474</v>
      </c>
      <c r="AL118" s="314">
        <v>14278.898088526626</v>
      </c>
    </row>
    <row r="119" spans="3:38">
      <c r="C119" s="412"/>
      <c r="E119" s="53" t="s">
        <v>223</v>
      </c>
      <c r="F119" s="313"/>
      <c r="G119" s="314"/>
      <c r="H119" s="314"/>
      <c r="I119" s="314">
        <v>3892</v>
      </c>
      <c r="J119" s="314">
        <v>3969.84</v>
      </c>
      <c r="K119" s="314">
        <v>4049.2367999999997</v>
      </c>
      <c r="L119" s="314">
        <v>4130.221536</v>
      </c>
      <c r="M119" s="314">
        <v>4212.82596672</v>
      </c>
      <c r="N119" s="314">
        <v>4297.0824860543999</v>
      </c>
      <c r="O119" s="314">
        <v>4383.0241357754876</v>
      </c>
      <c r="P119" s="314">
        <v>4470.6846184909964</v>
      </c>
      <c r="Q119" s="314">
        <v>4560.098310860817</v>
      </c>
      <c r="R119" s="314">
        <v>4651.3002770780331</v>
      </c>
      <c r="S119" s="314">
        <v>4744.3262826195942</v>
      </c>
      <c r="T119" s="314">
        <v>4839.2128082719855</v>
      </c>
      <c r="U119" s="314">
        <v>4935.9970644374271</v>
      </c>
      <c r="V119" s="314">
        <v>5034.7170057261746</v>
      </c>
      <c r="W119" s="314">
        <v>5135.4113458406982</v>
      </c>
      <c r="X119" s="314">
        <v>5238.1195727575105</v>
      </c>
      <c r="Y119" s="314">
        <v>5342.8819642126618</v>
      </c>
      <c r="Z119" s="314">
        <v>5449.7396034969161</v>
      </c>
      <c r="AA119" s="314">
        <v>5558.7343955668539</v>
      </c>
      <c r="AB119" s="314">
        <v>5669.90908347819</v>
      </c>
      <c r="AC119" s="314">
        <v>5783.3072651477551</v>
      </c>
      <c r="AD119" s="314">
        <v>5898.9734104507088</v>
      </c>
      <c r="AE119" s="314">
        <v>6016.9528786597239</v>
      </c>
      <c r="AF119" s="314">
        <v>6137.2919362329167</v>
      </c>
      <c r="AG119" s="314">
        <v>6260.0377749575755</v>
      </c>
      <c r="AH119" s="314">
        <v>6385.2385304567269</v>
      </c>
      <c r="AI119" s="314">
        <v>6512.9433010658631</v>
      </c>
      <c r="AJ119" s="314">
        <v>6643.2021670871791</v>
      </c>
      <c r="AK119" s="314">
        <v>6776.0662104289231</v>
      </c>
      <c r="AL119" s="314">
        <v>6911.5875346375014</v>
      </c>
    </row>
    <row r="120" spans="3:38">
      <c r="C120" s="412"/>
      <c r="E120" s="53" t="s">
        <v>408</v>
      </c>
      <c r="F120" s="313"/>
      <c r="G120" s="314"/>
      <c r="H120" s="314"/>
      <c r="I120" s="314">
        <v>323.74999999999994</v>
      </c>
      <c r="J120" s="314">
        <v>943.49999999999989</v>
      </c>
      <c r="K120" s="314">
        <v>1363.4711453245086</v>
      </c>
      <c r="L120" s="314">
        <v>1663.4893470516645</v>
      </c>
      <c r="M120" s="314">
        <v>1696.7591339926978</v>
      </c>
      <c r="N120" s="314">
        <v>1730.6943166725518</v>
      </c>
      <c r="O120" s="314">
        <v>1765.3082030060029</v>
      </c>
      <c r="P120" s="314">
        <v>1800.6143670661227</v>
      </c>
      <c r="Q120" s="314">
        <v>1836.6266544074454</v>
      </c>
      <c r="R120" s="314">
        <v>1873.3591874955941</v>
      </c>
      <c r="S120" s="314">
        <v>1910.8263712455062</v>
      </c>
      <c r="T120" s="314">
        <v>1949.042898670416</v>
      </c>
      <c r="U120" s="314">
        <v>1988.0237566438245</v>
      </c>
      <c r="V120" s="314">
        <v>2027.7842317767008</v>
      </c>
      <c r="W120" s="314">
        <v>2068.3399164122352</v>
      </c>
      <c r="X120" s="314">
        <v>2109.7067147404791</v>
      </c>
      <c r="Y120" s="314">
        <v>2151.9008490352894</v>
      </c>
      <c r="Z120" s="314">
        <v>2194.9388660159952</v>
      </c>
      <c r="AA120" s="314">
        <v>2238.8376433363151</v>
      </c>
      <c r="AB120" s="314">
        <v>2283.614396203041</v>
      </c>
      <c r="AC120" s="314">
        <v>2329.286684127102</v>
      </c>
      <c r="AD120" s="314">
        <v>2375.872417809644</v>
      </c>
      <c r="AE120" s="314">
        <v>2423.3898661658368</v>
      </c>
      <c r="AF120" s="314">
        <v>2471.8576634891533</v>
      </c>
      <c r="AG120" s="314">
        <v>2521.2948167589366</v>
      </c>
      <c r="AH120" s="314">
        <v>2571.7207130941151</v>
      </c>
      <c r="AI120" s="314">
        <v>2623.1551273559976</v>
      </c>
      <c r="AJ120" s="314">
        <v>2675.6182299031175</v>
      </c>
      <c r="AK120" s="314">
        <v>2729.13059450118</v>
      </c>
      <c r="AL120" s="314">
        <v>2783.7132063912036</v>
      </c>
    </row>
    <row r="121" spans="3:38">
      <c r="C121" s="412"/>
      <c r="E121" s="53" t="s">
        <v>409</v>
      </c>
      <c r="F121" s="313"/>
      <c r="G121" s="314"/>
      <c r="H121" s="314"/>
      <c r="I121" s="314">
        <v>971.24999999999977</v>
      </c>
      <c r="J121" s="314">
        <v>2830.4999999999995</v>
      </c>
      <c r="K121" s="314">
        <v>4090.4134359735253</v>
      </c>
      <c r="L121" s="314">
        <v>4990.4680411549934</v>
      </c>
      <c r="M121" s="314">
        <v>5090.2774019780936</v>
      </c>
      <c r="N121" s="314">
        <v>5192.0829500176551</v>
      </c>
      <c r="O121" s="314">
        <v>5295.9246090180086</v>
      </c>
      <c r="P121" s="314">
        <v>5401.8431011983675</v>
      </c>
      <c r="Q121" s="314">
        <v>5509.8799632223354</v>
      </c>
      <c r="R121" s="314">
        <v>5620.077562486782</v>
      </c>
      <c r="S121" s="314">
        <v>5732.4791137365182</v>
      </c>
      <c r="T121" s="314">
        <v>5847.1286960112475</v>
      </c>
      <c r="U121" s="314">
        <v>5964.0712699314736</v>
      </c>
      <c r="V121" s="314">
        <v>6083.3526953301025</v>
      </c>
      <c r="W121" s="314">
        <v>6205.0197492367051</v>
      </c>
      <c r="X121" s="314">
        <v>6329.1201442214378</v>
      </c>
      <c r="Y121" s="314">
        <v>6455.7025471058678</v>
      </c>
      <c r="Z121" s="314">
        <v>6584.8165980479853</v>
      </c>
      <c r="AA121" s="314">
        <v>6716.5129300089438</v>
      </c>
      <c r="AB121" s="314">
        <v>6850.843188609123</v>
      </c>
      <c r="AC121" s="314">
        <v>6987.8600523813056</v>
      </c>
      <c r="AD121" s="314">
        <v>7127.6172534289317</v>
      </c>
      <c r="AE121" s="314">
        <v>7270.1695984975104</v>
      </c>
      <c r="AF121" s="314">
        <v>7415.5729904674599</v>
      </c>
      <c r="AG121" s="314">
        <v>7563.8844502768088</v>
      </c>
      <c r="AH121" s="314">
        <v>7715.1621392823454</v>
      </c>
      <c r="AI121" s="314">
        <v>7869.4653820679932</v>
      </c>
      <c r="AJ121" s="314">
        <v>8026.8546897093511</v>
      </c>
      <c r="AK121" s="314">
        <v>8187.39178350354</v>
      </c>
      <c r="AL121" s="314">
        <v>8351.1396191736094</v>
      </c>
    </row>
    <row r="122" spans="3:38">
      <c r="C122" s="412"/>
      <c r="E122" s="53" t="s">
        <v>553</v>
      </c>
      <c r="F122" s="313"/>
      <c r="G122" s="314"/>
      <c r="H122" s="314"/>
      <c r="I122" s="314">
        <v>0</v>
      </c>
      <c r="J122" s="314">
        <v>154.37496000000002</v>
      </c>
      <c r="K122" s="314">
        <v>157.46245920000001</v>
      </c>
      <c r="L122" s="314">
        <v>160.611708384</v>
      </c>
      <c r="M122" s="314">
        <v>163.82394255168001</v>
      </c>
      <c r="N122" s="314">
        <v>167.10042140271361</v>
      </c>
      <c r="O122" s="314">
        <v>170.44242983076791</v>
      </c>
      <c r="P122" s="314">
        <v>173.85127842738322</v>
      </c>
      <c r="Q122" s="314">
        <v>177.3283039959309</v>
      </c>
      <c r="R122" s="314">
        <v>180.87487007584951</v>
      </c>
      <c r="S122" s="314">
        <v>184.49236747736651</v>
      </c>
      <c r="T122" s="314">
        <v>188.18221482691382</v>
      </c>
      <c r="U122" s="314">
        <v>191.94585912345212</v>
      </c>
      <c r="V122" s="314">
        <v>195.78477630592116</v>
      </c>
      <c r="W122" s="314">
        <v>199.7004718320396</v>
      </c>
      <c r="X122" s="314">
        <v>203.69448126868033</v>
      </c>
      <c r="Y122" s="314">
        <v>207.76837089405396</v>
      </c>
      <c r="Z122" s="314">
        <v>211.92373831193507</v>
      </c>
      <c r="AA122" s="314">
        <v>216.16221307817375</v>
      </c>
      <c r="AB122" s="314">
        <v>220.48545733973722</v>
      </c>
      <c r="AC122" s="314">
        <v>224.89516648653196</v>
      </c>
      <c r="AD122" s="314">
        <v>229.3930698162626</v>
      </c>
      <c r="AE122" s="314">
        <v>233.98093121258788</v>
      </c>
      <c r="AF122" s="314">
        <v>238.66054983683958</v>
      </c>
      <c r="AG122" s="314">
        <v>243.43376083357637</v>
      </c>
      <c r="AH122" s="314">
        <v>248.30243605024791</v>
      </c>
      <c r="AI122" s="314">
        <v>253.2684847712529</v>
      </c>
      <c r="AJ122" s="314">
        <v>258.33385446667791</v>
      </c>
      <c r="AK122" s="314">
        <v>263.50053155601154</v>
      </c>
      <c r="AL122" s="314">
        <v>268.7705421871317</v>
      </c>
    </row>
    <row r="123" spans="3:38">
      <c r="C123" s="412"/>
      <c r="E123" s="53" t="s">
        <v>381</v>
      </c>
      <c r="F123" s="313"/>
      <c r="G123" s="314"/>
      <c r="H123" s="314"/>
      <c r="I123" s="314">
        <v>0</v>
      </c>
      <c r="J123" s="314">
        <v>1543.7496000000001</v>
      </c>
      <c r="K123" s="314">
        <v>1574.6245919999999</v>
      </c>
      <c r="L123" s="314">
        <v>1606.1170838399999</v>
      </c>
      <c r="M123" s="314">
        <v>1638.2394255167999</v>
      </c>
      <c r="N123" s="314">
        <v>1671.004214027136</v>
      </c>
      <c r="O123" s="314">
        <v>1704.4242983076788</v>
      </c>
      <c r="P123" s="314">
        <v>1738.512784273832</v>
      </c>
      <c r="Q123" s="314">
        <v>1773.2830399593088</v>
      </c>
      <c r="R123" s="314">
        <v>1808.748700758495</v>
      </c>
      <c r="S123" s="314">
        <v>1844.923674773665</v>
      </c>
      <c r="T123" s="314">
        <v>1881.8221482691379</v>
      </c>
      <c r="U123" s="314">
        <v>1919.458591234521</v>
      </c>
      <c r="V123" s="314">
        <v>1957.8477630592113</v>
      </c>
      <c r="W123" s="314">
        <v>1997.0047183203958</v>
      </c>
      <c r="X123" s="314">
        <v>2036.9448126868031</v>
      </c>
      <c r="Y123" s="314">
        <v>2077.6837089405394</v>
      </c>
      <c r="Z123" s="314">
        <v>2119.2373831193504</v>
      </c>
      <c r="AA123" s="314">
        <v>2161.6221307817373</v>
      </c>
      <c r="AB123" s="314">
        <v>2204.854573397372</v>
      </c>
      <c r="AC123" s="314">
        <v>2248.9516648653198</v>
      </c>
      <c r="AD123" s="314">
        <v>2293.930698162626</v>
      </c>
      <c r="AE123" s="314">
        <v>2339.8093121258785</v>
      </c>
      <c r="AF123" s="314">
        <v>2386.6054983683957</v>
      </c>
      <c r="AG123" s="314">
        <v>2434.3376083357634</v>
      </c>
      <c r="AH123" s="314">
        <v>2483.0243605024789</v>
      </c>
      <c r="AI123" s="314">
        <v>2532.6848477125286</v>
      </c>
      <c r="AJ123" s="314">
        <v>2583.3385446667789</v>
      </c>
      <c r="AK123" s="314">
        <v>2635.0053155601149</v>
      </c>
      <c r="AL123" s="314">
        <v>2687.705421871317</v>
      </c>
    </row>
    <row r="124" spans="3:38">
      <c r="C124" s="412"/>
      <c r="E124" s="53" t="s">
        <v>410</v>
      </c>
      <c r="F124" s="313"/>
      <c r="G124" s="314"/>
      <c r="H124" s="314"/>
      <c r="I124" s="314">
        <v>1296.6051540761812</v>
      </c>
      <c r="J124" s="314">
        <v>3704.5861545033754</v>
      </c>
      <c r="K124" s="314">
        <v>5248.6011898064507</v>
      </c>
      <c r="L124" s="314">
        <v>6277.9445466751677</v>
      </c>
      <c r="M124" s="314">
        <v>6277.9445466751677</v>
      </c>
      <c r="N124" s="314">
        <v>6277.9445466751677</v>
      </c>
      <c r="O124" s="314">
        <v>6277.9445466751677</v>
      </c>
      <c r="P124" s="314">
        <v>6277.9445466751677</v>
      </c>
      <c r="Q124" s="314">
        <v>6277.9445466751677</v>
      </c>
      <c r="R124" s="314">
        <v>6277.9445466751677</v>
      </c>
      <c r="S124" s="314">
        <v>6277.9445466751677</v>
      </c>
      <c r="T124" s="314">
        <v>6277.9445466751677</v>
      </c>
      <c r="U124" s="314">
        <v>6277.9445466751677</v>
      </c>
      <c r="V124" s="314">
        <v>6277.9445466751677</v>
      </c>
      <c r="W124" s="314">
        <v>6277.9445466751677</v>
      </c>
      <c r="X124" s="314">
        <v>6277.9445466751677</v>
      </c>
      <c r="Y124" s="314">
        <v>6277.9445466751677</v>
      </c>
      <c r="Z124" s="314">
        <v>6277.9445466751677</v>
      </c>
      <c r="AA124" s="314">
        <v>6277.9445466751677</v>
      </c>
      <c r="AB124" s="314">
        <v>6277.9445466751677</v>
      </c>
      <c r="AC124" s="314">
        <v>6277.9445466751677</v>
      </c>
      <c r="AD124" s="314">
        <v>6277.9445466751677</v>
      </c>
      <c r="AE124" s="314">
        <v>6277.9445466751677</v>
      </c>
      <c r="AF124" s="314">
        <v>6277.9445466751677</v>
      </c>
      <c r="AG124" s="314">
        <v>6277.9445466751677</v>
      </c>
      <c r="AH124" s="314">
        <v>6277.9445466751677</v>
      </c>
      <c r="AI124" s="314">
        <v>6277.9445466751677</v>
      </c>
      <c r="AJ124" s="314">
        <v>6277.9445466751677</v>
      </c>
      <c r="AK124" s="314">
        <v>6277.9445466751677</v>
      </c>
      <c r="AL124" s="314">
        <v>6277.9445466751677</v>
      </c>
    </row>
    <row r="125" spans="3:38">
      <c r="C125" s="412"/>
      <c r="E125" s="53" t="s">
        <v>411</v>
      </c>
      <c r="F125" s="313"/>
      <c r="G125" s="314"/>
      <c r="H125" s="314"/>
      <c r="I125" s="314">
        <v>3889.8154622285438</v>
      </c>
      <c r="J125" s="314">
        <v>11113.758463510125</v>
      </c>
      <c r="K125" s="314">
        <v>15745.803569419353</v>
      </c>
      <c r="L125" s="314">
        <v>18833.833640025503</v>
      </c>
      <c r="M125" s="314">
        <v>18833.833640025503</v>
      </c>
      <c r="N125" s="314">
        <v>18833.833640025503</v>
      </c>
      <c r="O125" s="314">
        <v>18833.833640025503</v>
      </c>
      <c r="P125" s="314">
        <v>18833.833640025503</v>
      </c>
      <c r="Q125" s="314">
        <v>18833.833640025503</v>
      </c>
      <c r="R125" s="314">
        <v>18833.833640025503</v>
      </c>
      <c r="S125" s="314">
        <v>18833.833640025503</v>
      </c>
      <c r="T125" s="314">
        <v>18833.833640025503</v>
      </c>
      <c r="U125" s="314">
        <v>18833.833640025503</v>
      </c>
      <c r="V125" s="314">
        <v>18833.833640025503</v>
      </c>
      <c r="W125" s="314">
        <v>18833.833640025503</v>
      </c>
      <c r="X125" s="314">
        <v>18833.833640025503</v>
      </c>
      <c r="Y125" s="314">
        <v>18833.833640025503</v>
      </c>
      <c r="Z125" s="314">
        <v>18833.833640025503</v>
      </c>
      <c r="AA125" s="314">
        <v>18833.833640025503</v>
      </c>
      <c r="AB125" s="314">
        <v>18833.833640025503</v>
      </c>
      <c r="AC125" s="314">
        <v>18833.833640025503</v>
      </c>
      <c r="AD125" s="314">
        <v>18833.833640025503</v>
      </c>
      <c r="AE125" s="314">
        <v>18833.833640025503</v>
      </c>
      <c r="AF125" s="314">
        <v>18833.833640025503</v>
      </c>
      <c r="AG125" s="314">
        <v>18833.833640025503</v>
      </c>
      <c r="AH125" s="314">
        <v>18833.833640025503</v>
      </c>
      <c r="AI125" s="314">
        <v>18833.833640025503</v>
      </c>
      <c r="AJ125" s="314">
        <v>18833.833640025503</v>
      </c>
      <c r="AK125" s="314">
        <v>18833.833640025503</v>
      </c>
      <c r="AL125" s="314">
        <v>18833.833640025503</v>
      </c>
    </row>
    <row r="126" spans="3:38">
      <c r="C126" s="412"/>
      <c r="E126" s="53" t="s">
        <v>382</v>
      </c>
      <c r="F126" s="313"/>
      <c r="G126" s="314"/>
      <c r="H126" s="314"/>
      <c r="I126" s="314">
        <v>0</v>
      </c>
      <c r="J126" s="314">
        <v>0</v>
      </c>
      <c r="K126" s="314">
        <v>558.29913145778141</v>
      </c>
      <c r="L126" s="314">
        <v>837.44869718667201</v>
      </c>
      <c r="M126" s="314">
        <v>1256.1730457800081</v>
      </c>
      <c r="N126" s="314">
        <v>1884.2595686700122</v>
      </c>
      <c r="O126" s="314">
        <v>1884.2595686700122</v>
      </c>
      <c r="P126" s="314">
        <v>1884.2595686700122</v>
      </c>
      <c r="Q126" s="314">
        <v>1884.2595686700122</v>
      </c>
      <c r="R126" s="314">
        <v>1884.2595686700122</v>
      </c>
      <c r="S126" s="314">
        <v>1884.2595686700122</v>
      </c>
      <c r="T126" s="314">
        <v>1884.2595686700122</v>
      </c>
      <c r="U126" s="314">
        <v>1884.2595686700122</v>
      </c>
      <c r="V126" s="314">
        <v>1884.2595686700122</v>
      </c>
      <c r="W126" s="314">
        <v>1884.2595686700122</v>
      </c>
      <c r="X126" s="314">
        <v>1884.2595686700122</v>
      </c>
      <c r="Y126" s="314">
        <v>1884.2595686700122</v>
      </c>
      <c r="Z126" s="314">
        <v>1884.2595686700122</v>
      </c>
      <c r="AA126" s="314">
        <v>1884.2595686700122</v>
      </c>
      <c r="AB126" s="314">
        <v>1884.2595686700122</v>
      </c>
      <c r="AC126" s="314">
        <v>1884.2595686700122</v>
      </c>
      <c r="AD126" s="314">
        <v>1884.2595686700122</v>
      </c>
      <c r="AE126" s="314">
        <v>1884.2595686700122</v>
      </c>
      <c r="AF126" s="314">
        <v>1884.2595686700122</v>
      </c>
      <c r="AG126" s="314">
        <v>1884.2595686700122</v>
      </c>
      <c r="AH126" s="314">
        <v>1884.2595686700122</v>
      </c>
      <c r="AI126" s="314">
        <v>1884.2595686700122</v>
      </c>
      <c r="AJ126" s="314">
        <v>1884.2595686700122</v>
      </c>
      <c r="AK126" s="314">
        <v>1884.2595686700122</v>
      </c>
      <c r="AL126" s="314">
        <v>1884.2595686700122</v>
      </c>
    </row>
    <row r="127" spans="3:38">
      <c r="C127" s="412"/>
      <c r="E127" s="53" t="s">
        <v>383</v>
      </c>
      <c r="F127" s="313"/>
      <c r="G127" s="314"/>
      <c r="H127" s="314"/>
      <c r="I127" s="314">
        <v>0</v>
      </c>
      <c r="J127" s="314">
        <v>0</v>
      </c>
      <c r="K127" s="314">
        <v>5112.6294089540397</v>
      </c>
      <c r="L127" s="314">
        <v>9586.1801417888255</v>
      </c>
      <c r="M127" s="314">
        <v>12781.573522385101</v>
      </c>
      <c r="N127" s="314">
        <v>13420.652198504355</v>
      </c>
      <c r="O127" s="314">
        <v>14091.684808429573</v>
      </c>
      <c r="P127" s="314">
        <v>14796.269048851053</v>
      </c>
      <c r="Q127" s="314">
        <v>15536.082501293606</v>
      </c>
      <c r="R127" s="314">
        <v>15536.082501293606</v>
      </c>
      <c r="S127" s="314">
        <v>15536.082501293606</v>
      </c>
      <c r="T127" s="314">
        <v>15536.082501293606</v>
      </c>
      <c r="U127" s="314">
        <v>15536.082501293606</v>
      </c>
      <c r="V127" s="314">
        <v>15536.082501293606</v>
      </c>
      <c r="W127" s="314">
        <v>15536.082501293606</v>
      </c>
      <c r="X127" s="314">
        <v>15536.082501293606</v>
      </c>
      <c r="Y127" s="314">
        <v>15536.082501293606</v>
      </c>
      <c r="Z127" s="314">
        <v>15536.082501293606</v>
      </c>
      <c r="AA127" s="314">
        <v>15536.082501293606</v>
      </c>
      <c r="AB127" s="314">
        <v>15536.082501293606</v>
      </c>
      <c r="AC127" s="314">
        <v>15536.082501293606</v>
      </c>
      <c r="AD127" s="314">
        <v>15536.082501293606</v>
      </c>
      <c r="AE127" s="314">
        <v>15536.082501293606</v>
      </c>
      <c r="AF127" s="314">
        <v>15536.082501293606</v>
      </c>
      <c r="AG127" s="314">
        <v>15536.082501293606</v>
      </c>
      <c r="AH127" s="314">
        <v>15536.082501293606</v>
      </c>
      <c r="AI127" s="314">
        <v>15536.082501293606</v>
      </c>
      <c r="AJ127" s="314">
        <v>15536.082501293606</v>
      </c>
      <c r="AK127" s="314">
        <v>15536.082501293606</v>
      </c>
      <c r="AL127" s="314">
        <v>15536.082501293606</v>
      </c>
    </row>
    <row r="128" spans="3:38">
      <c r="C128" s="412"/>
      <c r="E128" s="52" t="s">
        <v>224</v>
      </c>
      <c r="F128" s="311"/>
      <c r="G128" s="312"/>
      <c r="H128" s="312"/>
      <c r="I128" s="312">
        <v>14149.762154766264</v>
      </c>
      <c r="J128" s="312">
        <v>28149.940962628883</v>
      </c>
      <c r="K128" s="312">
        <v>44328.74537998181</v>
      </c>
      <c r="L128" s="312">
        <v>54707.364499388364</v>
      </c>
      <c r="M128" s="312">
        <v>58771.13187562504</v>
      </c>
      <c r="N128" s="312">
        <v>60498.926029549475</v>
      </c>
      <c r="O128" s="312">
        <v>61641.846077863185</v>
      </c>
      <c r="P128" s="312">
        <v>62829.862786947167</v>
      </c>
      <c r="Q128" s="312">
        <v>64064.947857376916</v>
      </c>
      <c r="R128" s="312">
        <v>64572.360522673844</v>
      </c>
      <c r="S128" s="312">
        <v>65092.22412467518</v>
      </c>
      <c r="T128" s="312">
        <v>65624.856762616982</v>
      </c>
      <c r="U128" s="312">
        <v>66170.584970135067</v>
      </c>
      <c r="V128" s="312">
        <v>66729.743946125483</v>
      </c>
      <c r="W128" s="312">
        <v>67302.677792087343</v>
      </c>
      <c r="X128" s="312">
        <v>67889.739756133611</v>
      </c>
      <c r="Y128" s="312">
        <v>68491.292483860932</v>
      </c>
      <c r="Z128" s="312">
        <v>69107.708276274963</v>
      </c>
      <c r="AA128" s="312">
        <v>69739.369354973343</v>
      </c>
      <c r="AB128" s="312">
        <v>70386.668134794905</v>
      </c>
      <c r="AC128" s="312">
        <v>71050.00750414854</v>
      </c>
      <c r="AD128" s="312">
        <v>71729.801113242997</v>
      </c>
      <c r="AE128" s="312">
        <v>72426.473670443665</v>
      </c>
      <c r="AF128" s="312">
        <v>73140.461246990439</v>
      </c>
      <c r="AG128" s="312">
        <v>73872.211590316263</v>
      </c>
      <c r="AH128" s="312">
        <v>74622.184446214203</v>
      </c>
      <c r="AI128" s="312">
        <v>75390.851890106846</v>
      </c>
      <c r="AJ128" s="312">
        <v>76178.698667680379</v>
      </c>
      <c r="AK128" s="312">
        <v>76986.22254515253</v>
      </c>
      <c r="AL128" s="312">
        <v>77813.934669451686</v>
      </c>
    </row>
    <row r="129" spans="1:40" ht="3.75" customHeight="1">
      <c r="E129" s="67"/>
      <c r="F129" s="341"/>
      <c r="G129" s="342"/>
      <c r="H129" s="342"/>
      <c r="I129" s="342"/>
      <c r="J129" s="342"/>
      <c r="K129" s="342"/>
      <c r="L129" s="342"/>
      <c r="M129" s="342"/>
      <c r="N129" s="342"/>
      <c r="O129" s="342"/>
      <c r="P129" s="342"/>
      <c r="Q129" s="342"/>
      <c r="R129" s="342"/>
      <c r="S129" s="342"/>
      <c r="T129" s="342"/>
      <c r="U129" s="342"/>
      <c r="V129" s="342"/>
      <c r="W129" s="342"/>
      <c r="X129" s="342"/>
      <c r="Y129" s="342"/>
      <c r="Z129" s="342"/>
      <c r="AA129" s="342"/>
      <c r="AB129" s="342"/>
      <c r="AC129" s="342"/>
      <c r="AD129" s="342"/>
      <c r="AE129" s="342"/>
      <c r="AF129" s="342"/>
      <c r="AG129" s="342"/>
      <c r="AH129" s="342"/>
      <c r="AI129" s="342"/>
      <c r="AJ129" s="342"/>
      <c r="AK129" s="342"/>
      <c r="AL129" s="342"/>
    </row>
    <row r="130" spans="1:40">
      <c r="C130" s="51"/>
      <c r="E130" s="68" t="s">
        <v>225</v>
      </c>
      <c r="F130" s="343">
        <v>0</v>
      </c>
      <c r="G130" s="344">
        <v>0</v>
      </c>
      <c r="H130" s="344">
        <v>0</v>
      </c>
      <c r="I130" s="344">
        <v>15651.175535983475</v>
      </c>
      <c r="J130" s="344">
        <v>52981.460639841243</v>
      </c>
      <c r="K130" s="344">
        <v>96621.995817872608</v>
      </c>
      <c r="L130" s="344">
        <v>112629.00726611122</v>
      </c>
      <c r="M130" s="344">
        <v>123452.80626225234</v>
      </c>
      <c r="N130" s="344">
        <v>125038.22564509098</v>
      </c>
      <c r="O130" s="344">
        <v>126065.41623822617</v>
      </c>
      <c r="P130" s="344">
        <v>128781.09288683051</v>
      </c>
      <c r="Q130" s="344">
        <v>131590.8474463358</v>
      </c>
      <c r="R130" s="344">
        <v>132763.14769512974</v>
      </c>
      <c r="S130" s="344">
        <v>133821.69925879463</v>
      </c>
      <c r="T130" s="344">
        <v>134869.70963703454</v>
      </c>
      <c r="U130" s="344">
        <v>135908.1996018952</v>
      </c>
      <c r="V130" s="344">
        <v>136938.1063969275</v>
      </c>
      <c r="W130" s="344">
        <v>137960.28965406955</v>
      </c>
      <c r="X130" s="344">
        <v>138975.53676499179</v>
      </c>
      <c r="Y130" s="344">
        <v>139984.56775525014</v>
      </c>
      <c r="Z130" s="344">
        <v>140988.03970477355</v>
      </c>
      <c r="AA130" s="344">
        <v>141986.55075387747</v>
      </c>
      <c r="AB130" s="344">
        <v>142980.6437300957</v>
      </c>
      <c r="AC130" s="344">
        <v>143970.80942760664</v>
      </c>
      <c r="AD130" s="344">
        <v>144957.48956786055</v>
      </c>
      <c r="AE130" s="344">
        <v>145941.07946715239</v>
      </c>
      <c r="AF130" s="344">
        <v>146921.93043429387</v>
      </c>
      <c r="AG130" s="344">
        <v>147900.35191919666</v>
      </c>
      <c r="AH130" s="344">
        <v>148673.69937169697</v>
      </c>
      <c r="AI130" s="344">
        <v>147905.53864443983</v>
      </c>
      <c r="AJ130" s="344">
        <v>147117.69186686631</v>
      </c>
      <c r="AK130" s="344">
        <v>146310.16798939416</v>
      </c>
      <c r="AL130" s="344">
        <v>145482.45586509502</v>
      </c>
    </row>
    <row r="131" spans="1:40" s="70" customFormat="1" ht="14.25" thickBot="1">
      <c r="A131" s="69"/>
      <c r="C131" s="51"/>
      <c r="E131" s="71" t="s">
        <v>226</v>
      </c>
      <c r="F131" s="72"/>
      <c r="G131" s="73"/>
      <c r="H131" s="73"/>
      <c r="I131" s="73">
        <v>0.3826612164575563</v>
      </c>
      <c r="J131" s="73">
        <v>0.46634610809965582</v>
      </c>
      <c r="K131" s="73">
        <v>0.50321282645998833</v>
      </c>
      <c r="L131" s="73">
        <v>0.49201600624428621</v>
      </c>
      <c r="M131" s="73">
        <v>0.50341666762523452</v>
      </c>
      <c r="N131" s="73">
        <v>0.50390024040144343</v>
      </c>
      <c r="O131" s="73">
        <v>0.50590326298855659</v>
      </c>
      <c r="P131" s="73">
        <v>0.51115852796426398</v>
      </c>
      <c r="Q131" s="73">
        <v>0.51639078115275594</v>
      </c>
      <c r="R131" s="73">
        <v>0.52074809435350711</v>
      </c>
      <c r="S131" s="73">
        <v>0.52490014045307121</v>
      </c>
      <c r="T131" s="73">
        <v>0.52901083997176868</v>
      </c>
      <c r="U131" s="73">
        <v>0.5330841967699087</v>
      </c>
      <c r="V131" s="73">
        <v>0.5371238870769387</v>
      </c>
      <c r="W131" s="73">
        <v>0.54113328269972949</v>
      </c>
      <c r="X131" s="73">
        <v>0.54511547209105593</v>
      </c>
      <c r="Y131" s="73">
        <v>0.54907327946789886</v>
      </c>
      <c r="Z131" s="73">
        <v>0.55300928215029599</v>
      </c>
      <c r="AA131" s="73">
        <v>0.55692582627446685</v>
      </c>
      <c r="AB131" s="73">
        <v>0.56082504101864128</v>
      </c>
      <c r="AC131" s="73">
        <v>0.5647088514662294</v>
      </c>
      <c r="AD131" s="73">
        <v>0.56857899021854008</v>
      </c>
      <c r="AE131" s="73">
        <v>0.57243700785802676</v>
      </c>
      <c r="AF131" s="73">
        <v>0.57628428235287865</v>
      </c>
      <c r="AG131" s="73">
        <v>0.58012202748458996</v>
      </c>
      <c r="AH131" s="73">
        <v>0.58315539343857781</v>
      </c>
      <c r="AI131" s="73">
        <v>0.58014237181457318</v>
      </c>
      <c r="AJ131" s="73">
        <v>0.57705213393466026</v>
      </c>
      <c r="AK131" s="73">
        <v>0.57388471490581772</v>
      </c>
      <c r="AL131" s="73">
        <v>0.5706381098133273</v>
      </c>
      <c r="AN131" s="69"/>
    </row>
    <row r="132" spans="1:40" ht="3.75" customHeight="1">
      <c r="E132" s="74"/>
      <c r="F132" s="75"/>
      <c r="G132" s="76"/>
      <c r="H132" s="76"/>
      <c r="I132" s="76"/>
      <c r="J132" s="76"/>
      <c r="K132" s="76"/>
      <c r="L132" s="76"/>
      <c r="M132" s="76"/>
      <c r="N132" s="76"/>
      <c r="O132" s="76"/>
      <c r="P132" s="76"/>
      <c r="Q132" s="76"/>
      <c r="R132" s="76"/>
      <c r="S132" s="76"/>
      <c r="T132" s="76"/>
      <c r="U132" s="76"/>
      <c r="V132" s="76"/>
      <c r="W132" s="76"/>
      <c r="X132" s="76"/>
      <c r="Y132" s="76"/>
      <c r="Z132" s="76"/>
      <c r="AA132" s="76"/>
      <c r="AB132" s="76"/>
      <c r="AC132" s="76"/>
      <c r="AD132" s="76"/>
      <c r="AE132" s="76"/>
      <c r="AF132" s="76"/>
      <c r="AG132" s="76"/>
      <c r="AH132" s="76"/>
      <c r="AI132" s="76"/>
      <c r="AJ132" s="76"/>
      <c r="AK132" s="76"/>
      <c r="AL132" s="76"/>
    </row>
    <row r="133" spans="1:40">
      <c r="C133" s="412"/>
      <c r="E133" s="53" t="s">
        <v>227</v>
      </c>
      <c r="F133" s="311"/>
      <c r="G133" s="345"/>
      <c r="H133" s="312"/>
      <c r="I133" s="345">
        <v>1448.2953846153846</v>
      </c>
      <c r="J133" s="314">
        <v>1491.7442461538462</v>
      </c>
      <c r="K133" s="314">
        <v>1682.7865227692307</v>
      </c>
      <c r="L133" s="314">
        <v>1733.2701184523075</v>
      </c>
      <c r="M133" s="314">
        <v>1785.2682220058766</v>
      </c>
      <c r="N133" s="314">
        <v>1838.826268666053</v>
      </c>
      <c r="O133" s="314">
        <v>1893.9910567260347</v>
      </c>
      <c r="P133" s="314">
        <v>1950.8107884278159</v>
      </c>
      <c r="Q133" s="314">
        <v>2009.3351120806501</v>
      </c>
      <c r="R133" s="314">
        <v>2069.6151654430696</v>
      </c>
      <c r="S133" s="314">
        <v>2131.7036204063616</v>
      </c>
      <c r="T133" s="314">
        <v>2195.6547290185526</v>
      </c>
      <c r="U133" s="314">
        <v>2261.5243708891089</v>
      </c>
      <c r="V133" s="314">
        <v>2329.3701020157819</v>
      </c>
      <c r="W133" s="314">
        <v>2399.2512050762557</v>
      </c>
      <c r="X133" s="314">
        <v>2471.2287412285436</v>
      </c>
      <c r="Y133" s="314">
        <v>2545.3656034653995</v>
      </c>
      <c r="Z133" s="314">
        <v>2621.7265715693616</v>
      </c>
      <c r="AA133" s="314">
        <v>2700.3783687164423</v>
      </c>
      <c r="AB133" s="314">
        <v>2781.3897197779356</v>
      </c>
      <c r="AC133" s="314">
        <v>2864.8314113712736</v>
      </c>
      <c r="AD133" s="314">
        <v>2950.7763537124115</v>
      </c>
      <c r="AE133" s="314">
        <v>3039.2996443237839</v>
      </c>
      <c r="AF133" s="314">
        <v>3130.4786336534976</v>
      </c>
      <c r="AG133" s="314">
        <v>3224.3929926631022</v>
      </c>
      <c r="AH133" s="314">
        <v>3321.1247824429952</v>
      </c>
      <c r="AI133" s="314">
        <v>3420.7585259162856</v>
      </c>
      <c r="AJ133" s="314">
        <v>3523.3812816937734</v>
      </c>
      <c r="AK133" s="314">
        <v>3629.0827201445868</v>
      </c>
      <c r="AL133" s="314">
        <v>3737.9552017489241</v>
      </c>
    </row>
    <row r="134" spans="1:40">
      <c r="C134" s="412"/>
      <c r="E134" s="53" t="s">
        <v>228</v>
      </c>
      <c r="F134" s="313"/>
      <c r="G134" s="314"/>
      <c r="H134" s="314"/>
      <c r="I134" s="314">
        <v>880</v>
      </c>
      <c r="J134" s="314">
        <v>897.6</v>
      </c>
      <c r="K134" s="314">
        <v>915.55200000000002</v>
      </c>
      <c r="L134" s="314">
        <v>933.86303999999996</v>
      </c>
      <c r="M134" s="314">
        <v>952.54030079999995</v>
      </c>
      <c r="N134" s="314">
        <v>971.59110681599998</v>
      </c>
      <c r="O134" s="314">
        <v>991.02292895232006</v>
      </c>
      <c r="P134" s="314">
        <v>1010.8433875313663</v>
      </c>
      <c r="Q134" s="314">
        <v>1031.0602552819937</v>
      </c>
      <c r="R134" s="314">
        <v>1051.6814603876335</v>
      </c>
      <c r="S134" s="314">
        <v>1072.7150895953862</v>
      </c>
      <c r="T134" s="314">
        <v>1094.1693913872937</v>
      </c>
      <c r="U134" s="314">
        <v>1116.0527792150399</v>
      </c>
      <c r="V134" s="314">
        <v>1138.3738347993406</v>
      </c>
      <c r="W134" s="314">
        <v>1161.1413114953275</v>
      </c>
      <c r="X134" s="314">
        <v>1184.3641377252336</v>
      </c>
      <c r="Y134" s="314">
        <v>1208.0514204797387</v>
      </c>
      <c r="Z134" s="314">
        <v>1232.2124488893335</v>
      </c>
      <c r="AA134" s="314">
        <v>1256.8566978671199</v>
      </c>
      <c r="AB134" s="314">
        <v>1281.9938318244624</v>
      </c>
      <c r="AC134" s="314">
        <v>1307.6337084609518</v>
      </c>
      <c r="AD134" s="314">
        <v>1333.7863826301707</v>
      </c>
      <c r="AE134" s="314">
        <v>1360.4621102827741</v>
      </c>
      <c r="AF134" s="314">
        <v>1387.6713524884294</v>
      </c>
      <c r="AG134" s="314">
        <v>1415.424779538198</v>
      </c>
      <c r="AH134" s="314">
        <v>1443.7332751289621</v>
      </c>
      <c r="AI134" s="314">
        <v>1472.6079406315414</v>
      </c>
      <c r="AJ134" s="314">
        <v>1502.060099444172</v>
      </c>
      <c r="AK134" s="314">
        <v>1532.1013014330558</v>
      </c>
      <c r="AL134" s="314">
        <v>1562.7433274617165</v>
      </c>
    </row>
    <row r="135" spans="1:40">
      <c r="C135" s="412"/>
      <c r="E135" s="53" t="s">
        <v>412</v>
      </c>
      <c r="F135" s="313">
        <v>0</v>
      </c>
      <c r="G135" s="314">
        <v>0</v>
      </c>
      <c r="H135" s="314">
        <v>0</v>
      </c>
      <c r="I135" s="314">
        <v>50</v>
      </c>
      <c r="J135" s="314">
        <v>51</v>
      </c>
      <c r="K135" s="314">
        <v>52.019999999999996</v>
      </c>
      <c r="L135" s="314">
        <v>53.060399999999994</v>
      </c>
      <c r="M135" s="314">
        <v>54.121608000000002</v>
      </c>
      <c r="N135" s="314">
        <v>55.204040159999998</v>
      </c>
      <c r="O135" s="314">
        <v>56.308120963200004</v>
      </c>
      <c r="P135" s="314">
        <v>57.434283382463988</v>
      </c>
      <c r="Q135" s="314">
        <v>58.582969050113277</v>
      </c>
      <c r="R135" s="314">
        <v>59.754628431115542</v>
      </c>
      <c r="S135" s="314">
        <v>60.949720999737856</v>
      </c>
      <c r="T135" s="314">
        <v>62.1687154197326</v>
      </c>
      <c r="U135" s="314">
        <v>63.412089728127263</v>
      </c>
      <c r="V135" s="314">
        <v>64.680331522689798</v>
      </c>
      <c r="W135" s="314">
        <v>65.973938153143607</v>
      </c>
      <c r="X135" s="314">
        <v>67.293416916206468</v>
      </c>
      <c r="Y135" s="314">
        <v>68.639285254530606</v>
      </c>
      <c r="Z135" s="314">
        <v>70.012070959621227</v>
      </c>
      <c r="AA135" s="314">
        <v>71.412312378813638</v>
      </c>
      <c r="AB135" s="314">
        <v>72.840558626389907</v>
      </c>
      <c r="AC135" s="314">
        <v>74.297369798917714</v>
      </c>
      <c r="AD135" s="314">
        <v>75.783317194896057</v>
      </c>
      <c r="AE135" s="314">
        <v>77.298983538793991</v>
      </c>
      <c r="AF135" s="314">
        <v>78.844963209569855</v>
      </c>
      <c r="AG135" s="314">
        <v>80.421862473761252</v>
      </c>
      <c r="AH135" s="314">
        <v>82.030299723236482</v>
      </c>
      <c r="AI135" s="314">
        <v>83.670905717701217</v>
      </c>
      <c r="AJ135" s="314">
        <v>85.344323832055224</v>
      </c>
      <c r="AK135" s="314">
        <v>87.051210308696341</v>
      </c>
      <c r="AL135" s="314">
        <v>88.792234514870259</v>
      </c>
    </row>
    <row r="136" spans="1:40">
      <c r="C136" s="412"/>
      <c r="E136" s="53" t="s">
        <v>229</v>
      </c>
      <c r="F136" s="313">
        <v>0</v>
      </c>
      <c r="G136" s="314">
        <v>0</v>
      </c>
      <c r="H136" s="314">
        <v>0</v>
      </c>
      <c r="I136" s="314">
        <v>-366.57002051282052</v>
      </c>
      <c r="J136" s="314">
        <v>-372.31712112820509</v>
      </c>
      <c r="K136" s="314">
        <v>-297.40297292256406</v>
      </c>
      <c r="L136" s="314">
        <v>-306.32506211024099</v>
      </c>
      <c r="M136" s="314">
        <v>-315.5148139735482</v>
      </c>
      <c r="N136" s="314">
        <v>-324.98025839275465</v>
      </c>
      <c r="O136" s="314">
        <v>0</v>
      </c>
      <c r="P136" s="314">
        <v>0</v>
      </c>
      <c r="Q136" s="314">
        <v>0</v>
      </c>
      <c r="R136" s="314">
        <v>0</v>
      </c>
      <c r="S136" s="314">
        <v>0</v>
      </c>
      <c r="T136" s="314">
        <v>0</v>
      </c>
      <c r="U136" s="314">
        <v>0</v>
      </c>
      <c r="V136" s="314">
        <v>0</v>
      </c>
      <c r="W136" s="314">
        <v>0</v>
      </c>
      <c r="X136" s="314">
        <v>0</v>
      </c>
      <c r="Y136" s="314">
        <v>0</v>
      </c>
      <c r="Z136" s="314">
        <v>0</v>
      </c>
      <c r="AA136" s="314">
        <v>0</v>
      </c>
      <c r="AB136" s="314">
        <v>0</v>
      </c>
      <c r="AC136" s="314">
        <v>0</v>
      </c>
      <c r="AD136" s="314">
        <v>0</v>
      </c>
      <c r="AE136" s="314">
        <v>0</v>
      </c>
      <c r="AF136" s="314">
        <v>0</v>
      </c>
      <c r="AG136" s="314">
        <v>0</v>
      </c>
      <c r="AH136" s="314">
        <v>0</v>
      </c>
      <c r="AI136" s="314">
        <v>0</v>
      </c>
      <c r="AJ136" s="314">
        <v>0</v>
      </c>
      <c r="AK136" s="314">
        <v>0</v>
      </c>
      <c r="AL136" s="314">
        <v>0</v>
      </c>
    </row>
    <row r="137" spans="1:40">
      <c r="C137" s="412"/>
      <c r="E137" s="53" t="s">
        <v>230</v>
      </c>
      <c r="F137" s="313">
        <v>0</v>
      </c>
      <c r="G137" s="345">
        <v>0</v>
      </c>
      <c r="H137" s="314">
        <v>0</v>
      </c>
      <c r="I137" s="345">
        <v>792</v>
      </c>
      <c r="J137" s="345">
        <v>792</v>
      </c>
      <c r="K137" s="345">
        <v>2850.3012899109376</v>
      </c>
      <c r="L137" s="345">
        <v>2557.2848368951118</v>
      </c>
      <c r="M137" s="345">
        <v>2294.9348670783565</v>
      </c>
      <c r="N137" s="314">
        <v>2071.9707705928686</v>
      </c>
      <c r="O137" s="314">
        <v>1877.4891135785813</v>
      </c>
      <c r="P137" s="314">
        <v>1683.0074565642938</v>
      </c>
      <c r="Q137" s="314">
        <v>1504.6825995500062</v>
      </c>
      <c r="R137" s="314">
        <v>1310.2009425357187</v>
      </c>
      <c r="S137" s="314">
        <v>1115.7192855214312</v>
      </c>
      <c r="T137" s="314">
        <v>921.23762850714388</v>
      </c>
      <c r="U137" s="314">
        <v>823.99680000000012</v>
      </c>
      <c r="V137" s="314">
        <v>840.47673600000007</v>
      </c>
      <c r="W137" s="314">
        <v>840.47673600000007</v>
      </c>
      <c r="X137" s="314">
        <v>840.47673600000007</v>
      </c>
      <c r="Y137" s="314">
        <v>840.47673600000007</v>
      </c>
      <c r="Z137" s="314">
        <v>840.47673600000007</v>
      </c>
      <c r="AA137" s="314">
        <v>857.28627072000018</v>
      </c>
      <c r="AB137" s="314">
        <v>857.28627072000018</v>
      </c>
      <c r="AC137" s="314">
        <v>857.28627072000018</v>
      </c>
      <c r="AD137" s="314">
        <v>857.28627072000018</v>
      </c>
      <c r="AE137" s="314">
        <v>857.28627072000018</v>
      </c>
      <c r="AF137" s="314">
        <v>874.43199613440015</v>
      </c>
      <c r="AG137" s="314">
        <v>874.43199613440015</v>
      </c>
      <c r="AH137" s="314">
        <v>874.43199613440015</v>
      </c>
      <c r="AI137" s="314">
        <v>874.43199613440015</v>
      </c>
      <c r="AJ137" s="314">
        <v>874.43199613440015</v>
      </c>
      <c r="AK137" s="314">
        <v>891.92063605708813</v>
      </c>
      <c r="AL137" s="314">
        <v>891.92063605708813</v>
      </c>
    </row>
    <row r="138" spans="1:40">
      <c r="C138" s="412"/>
      <c r="E138" s="52" t="s">
        <v>193</v>
      </c>
      <c r="F138" s="311">
        <v>0</v>
      </c>
      <c r="G138" s="312">
        <v>0</v>
      </c>
      <c r="H138" s="312">
        <v>0</v>
      </c>
      <c r="I138" s="312">
        <v>2803.7253641025641</v>
      </c>
      <c r="J138" s="312">
        <v>2860.027125025641</v>
      </c>
      <c r="K138" s="312">
        <v>5203.2568397576042</v>
      </c>
      <c r="L138" s="312">
        <v>4971.1533332371782</v>
      </c>
      <c r="M138" s="312">
        <v>4771.3501839106848</v>
      </c>
      <c r="N138" s="312">
        <v>4612.6119278421675</v>
      </c>
      <c r="O138" s="312">
        <v>4818.8112202201364</v>
      </c>
      <c r="P138" s="312">
        <v>4702.0959159059394</v>
      </c>
      <c r="Q138" s="312">
        <v>4603.6609359627637</v>
      </c>
      <c r="R138" s="312">
        <v>4491.2521967975372</v>
      </c>
      <c r="S138" s="312">
        <v>4381.0877165229176</v>
      </c>
      <c r="T138" s="312">
        <v>4273.2304643327225</v>
      </c>
      <c r="U138" s="312">
        <v>4264.9860398322762</v>
      </c>
      <c r="V138" s="312">
        <v>4372.901004337813</v>
      </c>
      <c r="W138" s="312">
        <v>4466.8431907247268</v>
      </c>
      <c r="X138" s="312">
        <v>4563.3630318699834</v>
      </c>
      <c r="Y138" s="312">
        <v>4662.5330451996688</v>
      </c>
      <c r="Z138" s="312">
        <v>4764.4278274183162</v>
      </c>
      <c r="AA138" s="312">
        <v>4885.9336496823762</v>
      </c>
      <c r="AB138" s="312">
        <v>4993.5103809487882</v>
      </c>
      <c r="AC138" s="312">
        <v>5104.0487603511428</v>
      </c>
      <c r="AD138" s="312">
        <v>5217.6323242574781</v>
      </c>
      <c r="AE138" s="312">
        <v>5334.3470088653521</v>
      </c>
      <c r="AF138" s="312">
        <v>5471.4269454858968</v>
      </c>
      <c r="AG138" s="312">
        <v>5594.6716308094619</v>
      </c>
      <c r="AH138" s="312">
        <v>5721.3203534295935</v>
      </c>
      <c r="AI138" s="312">
        <v>5851.4693683999285</v>
      </c>
      <c r="AJ138" s="312">
        <v>5985.2177011044005</v>
      </c>
      <c r="AK138" s="312">
        <v>6140.1558679434274</v>
      </c>
      <c r="AL138" s="312">
        <v>6281.411399782598</v>
      </c>
    </row>
    <row r="139" spans="1:40" ht="3.75" customHeight="1">
      <c r="E139" s="67"/>
      <c r="F139" s="341"/>
      <c r="G139" s="342"/>
      <c r="H139" s="342"/>
      <c r="I139" s="342"/>
      <c r="J139" s="342"/>
      <c r="K139" s="342"/>
      <c r="L139" s="342"/>
      <c r="M139" s="342"/>
      <c r="N139" s="342"/>
      <c r="O139" s="342"/>
      <c r="P139" s="342"/>
      <c r="Q139" s="342"/>
      <c r="R139" s="342"/>
      <c r="S139" s="342"/>
      <c r="T139" s="342"/>
      <c r="U139" s="342"/>
      <c r="V139" s="342"/>
      <c r="W139" s="342"/>
      <c r="X139" s="342"/>
      <c r="Y139" s="342"/>
      <c r="Z139" s="342"/>
      <c r="AA139" s="342"/>
      <c r="AB139" s="342"/>
      <c r="AC139" s="342"/>
      <c r="AD139" s="342"/>
      <c r="AE139" s="342"/>
      <c r="AF139" s="342"/>
      <c r="AG139" s="342"/>
      <c r="AH139" s="342"/>
      <c r="AI139" s="342"/>
      <c r="AJ139" s="342"/>
      <c r="AK139" s="342"/>
      <c r="AL139" s="342"/>
    </row>
    <row r="140" spans="1:40" ht="14.25" thickBot="1">
      <c r="C140" s="51"/>
      <c r="E140" s="77" t="s">
        <v>81</v>
      </c>
      <c r="F140" s="346">
        <v>0</v>
      </c>
      <c r="G140" s="347">
        <v>0</v>
      </c>
      <c r="H140" s="347">
        <v>0</v>
      </c>
      <c r="I140" s="347">
        <v>12847.450171880912</v>
      </c>
      <c r="J140" s="347">
        <v>50121.433514815602</v>
      </c>
      <c r="K140" s="347">
        <v>91418.738978114998</v>
      </c>
      <c r="L140" s="347">
        <v>107657.85393287404</v>
      </c>
      <c r="M140" s="347">
        <v>118681.45607834165</v>
      </c>
      <c r="N140" s="347">
        <v>120425.61371724881</v>
      </c>
      <c r="O140" s="347">
        <v>121246.60501800604</v>
      </c>
      <c r="P140" s="347">
        <v>124078.99697092456</v>
      </c>
      <c r="Q140" s="347">
        <v>126987.18651037304</v>
      </c>
      <c r="R140" s="347">
        <v>128271.8954983322</v>
      </c>
      <c r="S140" s="347">
        <v>129440.61154227171</v>
      </c>
      <c r="T140" s="347">
        <v>130596.47917270182</v>
      </c>
      <c r="U140" s="347">
        <v>131643.21356206294</v>
      </c>
      <c r="V140" s="347">
        <v>132565.20539258968</v>
      </c>
      <c r="W140" s="347">
        <v>133493.44646334482</v>
      </c>
      <c r="X140" s="347">
        <v>134412.1737331218</v>
      </c>
      <c r="Y140" s="347">
        <v>135322.03471005047</v>
      </c>
      <c r="Z140" s="347">
        <v>136223.61187735523</v>
      </c>
      <c r="AA140" s="347">
        <v>137100.61710419509</v>
      </c>
      <c r="AB140" s="347">
        <v>137987.13334914693</v>
      </c>
      <c r="AC140" s="347">
        <v>138866.7606672555</v>
      </c>
      <c r="AD140" s="347">
        <v>139739.85724360307</v>
      </c>
      <c r="AE140" s="347">
        <v>140606.73245828704</v>
      </c>
      <c r="AF140" s="347">
        <v>141450.50348880797</v>
      </c>
      <c r="AG140" s="347">
        <v>142305.6802883872</v>
      </c>
      <c r="AH140" s="347">
        <v>142952.37901826738</v>
      </c>
      <c r="AI140" s="347">
        <v>142054.0692760399</v>
      </c>
      <c r="AJ140" s="347">
        <v>141132.4741657619</v>
      </c>
      <c r="AK140" s="347">
        <v>140170.01212145074</v>
      </c>
      <c r="AL140" s="347">
        <v>139201.04446531241</v>
      </c>
    </row>
    <row r="141" spans="1:40" ht="3.75" customHeight="1">
      <c r="E141" s="61"/>
      <c r="F141" s="348"/>
      <c r="G141" s="349"/>
      <c r="H141" s="349"/>
      <c r="I141" s="349"/>
      <c r="J141" s="349"/>
      <c r="K141" s="349"/>
      <c r="L141" s="349"/>
      <c r="M141" s="349"/>
      <c r="N141" s="349"/>
      <c r="O141" s="349"/>
      <c r="P141" s="349"/>
      <c r="Q141" s="349"/>
      <c r="R141" s="349"/>
      <c r="S141" s="349"/>
      <c r="T141" s="349"/>
      <c r="U141" s="349"/>
      <c r="V141" s="349"/>
      <c r="W141" s="349"/>
      <c r="X141" s="349"/>
      <c r="Y141" s="349"/>
      <c r="Z141" s="349"/>
      <c r="AA141" s="349"/>
      <c r="AB141" s="349"/>
      <c r="AC141" s="349"/>
      <c r="AD141" s="349"/>
      <c r="AE141" s="349"/>
      <c r="AF141" s="349"/>
      <c r="AG141" s="349"/>
      <c r="AH141" s="349"/>
      <c r="AI141" s="349"/>
      <c r="AJ141" s="349"/>
      <c r="AK141" s="349"/>
      <c r="AL141" s="349"/>
    </row>
    <row r="142" spans="1:40">
      <c r="C142" s="412"/>
      <c r="E142" s="53" t="s">
        <v>209</v>
      </c>
      <c r="F142" s="313"/>
      <c r="G142" s="314">
        <v>0</v>
      </c>
      <c r="H142" s="314">
        <v>0</v>
      </c>
      <c r="I142" s="314">
        <v>20648.004716666666</v>
      </c>
      <c r="J142" s="314">
        <v>25594.48476383333</v>
      </c>
      <c r="K142" s="314">
        <v>28230.964810999998</v>
      </c>
      <c r="L142" s="314">
        <v>29207.444858166666</v>
      </c>
      <c r="M142" s="314">
        <v>29517.258238666669</v>
      </c>
      <c r="N142" s="314">
        <v>29827.071619166669</v>
      </c>
      <c r="O142" s="314">
        <v>30136.884999666669</v>
      </c>
      <c r="P142" s="314">
        <v>30446.698380166668</v>
      </c>
      <c r="Q142" s="314">
        <v>30756.511760666668</v>
      </c>
      <c r="R142" s="314">
        <v>31066.325141166668</v>
      </c>
      <c r="S142" s="314">
        <v>31376.138521666668</v>
      </c>
      <c r="T142" s="314">
        <v>31685.951902166667</v>
      </c>
      <c r="U142" s="314">
        <v>31995.765282666667</v>
      </c>
      <c r="V142" s="314">
        <v>32305.578663166667</v>
      </c>
      <c r="W142" s="314">
        <v>32615.392043666667</v>
      </c>
      <c r="X142" s="314">
        <v>14943.867374166664</v>
      </c>
      <c r="Y142" s="314">
        <v>10307.200707499998</v>
      </c>
      <c r="Z142" s="314">
        <v>7980.5340408333313</v>
      </c>
      <c r="AA142" s="314">
        <v>7313.8673741666644</v>
      </c>
      <c r="AB142" s="314">
        <v>7313.8673741666644</v>
      </c>
      <c r="AC142" s="314">
        <v>7313.8673741666644</v>
      </c>
      <c r="AD142" s="314">
        <v>7313.8673741666644</v>
      </c>
      <c r="AE142" s="314">
        <v>7313.8673741666644</v>
      </c>
      <c r="AF142" s="314">
        <v>7313.8673741666644</v>
      </c>
      <c r="AG142" s="314">
        <v>7313.8673741666644</v>
      </c>
      <c r="AH142" s="314">
        <v>7313.8673741666644</v>
      </c>
      <c r="AI142" s="314">
        <v>7313.8673741666644</v>
      </c>
      <c r="AJ142" s="314">
        <v>7313.8673741666644</v>
      </c>
      <c r="AK142" s="314">
        <v>7313.8673741666644</v>
      </c>
      <c r="AL142" s="314">
        <v>7054.0539936666646</v>
      </c>
    </row>
    <row r="143" spans="1:40" ht="3.75" customHeight="1">
      <c r="E143" s="53"/>
      <c r="F143" s="313"/>
      <c r="G143" s="314"/>
      <c r="H143" s="314"/>
      <c r="I143" s="314"/>
      <c r="J143" s="314"/>
      <c r="K143" s="314"/>
      <c r="L143" s="314"/>
      <c r="M143" s="314"/>
      <c r="N143" s="314"/>
      <c r="O143" s="314"/>
      <c r="P143" s="314"/>
      <c r="Q143" s="314"/>
      <c r="R143" s="314"/>
      <c r="S143" s="314"/>
      <c r="T143" s="314"/>
      <c r="U143" s="314"/>
      <c r="V143" s="314"/>
      <c r="W143" s="314"/>
      <c r="X143" s="314"/>
      <c r="Y143" s="314"/>
      <c r="Z143" s="314"/>
      <c r="AA143" s="314"/>
      <c r="AB143" s="314"/>
      <c r="AC143" s="314"/>
      <c r="AD143" s="314"/>
      <c r="AE143" s="314"/>
      <c r="AF143" s="314"/>
      <c r="AG143" s="314"/>
      <c r="AH143" s="314"/>
      <c r="AI143" s="314"/>
      <c r="AJ143" s="314"/>
      <c r="AK143" s="314"/>
      <c r="AL143" s="314"/>
    </row>
    <row r="144" spans="1:40" ht="14.25" thickBot="1">
      <c r="C144" s="51"/>
      <c r="E144" s="77" t="s">
        <v>83</v>
      </c>
      <c r="F144" s="346">
        <v>0</v>
      </c>
      <c r="G144" s="347">
        <v>0</v>
      </c>
      <c r="H144" s="347">
        <v>0</v>
      </c>
      <c r="I144" s="347">
        <v>-7800.5545447857548</v>
      </c>
      <c r="J144" s="347">
        <v>24526.948750982272</v>
      </c>
      <c r="K144" s="347">
        <v>63187.774167115</v>
      </c>
      <c r="L144" s="347">
        <v>78450.409074707379</v>
      </c>
      <c r="M144" s="347">
        <v>89164.197839674976</v>
      </c>
      <c r="N144" s="347">
        <v>90598.542098082136</v>
      </c>
      <c r="O144" s="347">
        <v>91109.720018339372</v>
      </c>
      <c r="P144" s="347">
        <v>93632.298590757899</v>
      </c>
      <c r="Q144" s="347">
        <v>96230.674749706377</v>
      </c>
      <c r="R144" s="347">
        <v>97205.570357165532</v>
      </c>
      <c r="S144" s="347">
        <v>98064.473020605044</v>
      </c>
      <c r="T144" s="347">
        <v>98910.527270535153</v>
      </c>
      <c r="U144" s="347">
        <v>99647.448279396282</v>
      </c>
      <c r="V144" s="347">
        <v>100259.62672942301</v>
      </c>
      <c r="W144" s="347">
        <v>100878.05441967816</v>
      </c>
      <c r="X144" s="347">
        <v>119468.30635895513</v>
      </c>
      <c r="Y144" s="347">
        <v>125014.83400255047</v>
      </c>
      <c r="Z144" s="347">
        <v>128243.0778365219</v>
      </c>
      <c r="AA144" s="347">
        <v>129786.74973002842</v>
      </c>
      <c r="AB144" s="347">
        <v>130673.26597498026</v>
      </c>
      <c r="AC144" s="347">
        <v>131552.89329308883</v>
      </c>
      <c r="AD144" s="347">
        <v>132425.98986943639</v>
      </c>
      <c r="AE144" s="347">
        <v>133292.86508412036</v>
      </c>
      <c r="AF144" s="347">
        <v>134136.6361146413</v>
      </c>
      <c r="AG144" s="347">
        <v>134991.81291422053</v>
      </c>
      <c r="AH144" s="347">
        <v>135638.51164410071</v>
      </c>
      <c r="AI144" s="347">
        <v>134740.20190187322</v>
      </c>
      <c r="AJ144" s="347">
        <v>133818.60679159523</v>
      </c>
      <c r="AK144" s="347">
        <v>132856.14474728407</v>
      </c>
      <c r="AL144" s="347">
        <v>132146.99047164575</v>
      </c>
    </row>
    <row r="145" spans="1:40" ht="3.75" customHeight="1">
      <c r="E145" s="53"/>
      <c r="F145" s="313"/>
      <c r="G145" s="314"/>
      <c r="H145" s="314"/>
      <c r="I145" s="314"/>
      <c r="J145" s="314"/>
      <c r="K145" s="314"/>
      <c r="L145" s="314"/>
      <c r="M145" s="314"/>
      <c r="N145" s="314"/>
      <c r="O145" s="314"/>
      <c r="P145" s="314"/>
      <c r="Q145" s="314"/>
      <c r="R145" s="314"/>
      <c r="S145" s="314"/>
      <c r="T145" s="314"/>
      <c r="U145" s="314"/>
      <c r="V145" s="314"/>
      <c r="W145" s="314"/>
      <c r="X145" s="314"/>
      <c r="Y145" s="314"/>
      <c r="Z145" s="314"/>
      <c r="AA145" s="314"/>
      <c r="AB145" s="314"/>
      <c r="AC145" s="314"/>
      <c r="AD145" s="314"/>
      <c r="AE145" s="314"/>
      <c r="AF145" s="314"/>
      <c r="AG145" s="314"/>
      <c r="AH145" s="314"/>
      <c r="AI145" s="314"/>
      <c r="AJ145" s="314"/>
      <c r="AK145" s="314"/>
      <c r="AL145" s="314"/>
    </row>
    <row r="146" spans="1:40">
      <c r="C146" s="412"/>
      <c r="E146" s="53" t="s">
        <v>84</v>
      </c>
      <c r="F146" s="313">
        <v>0</v>
      </c>
      <c r="G146" s="314">
        <v>4733.7337601210893</v>
      </c>
      <c r="H146" s="314">
        <v>11608.583600075681</v>
      </c>
      <c r="I146" s="314">
        <v>19150</v>
      </c>
      <c r="J146" s="314">
        <v>15765.530903706192</v>
      </c>
      <c r="K146" s="314">
        <v>17738.770206820063</v>
      </c>
      <c r="L146" s="314">
        <v>16638.631288417015</v>
      </c>
      <c r="M146" s="314">
        <v>13277.259816559901</v>
      </c>
      <c r="N146" s="314">
        <v>5446.0754049614407</v>
      </c>
      <c r="O146" s="314">
        <v>4434.4298043809576</v>
      </c>
      <c r="P146" s="314">
        <v>3311.5031877366214</v>
      </c>
      <c r="Q146" s="314">
        <v>2065.0546432614083</v>
      </c>
      <c r="R146" s="314">
        <v>681.49675889392211</v>
      </c>
      <c r="S146" s="314">
        <v>126.18205210546348</v>
      </c>
      <c r="T146" s="314">
        <v>0</v>
      </c>
      <c r="U146" s="314">
        <v>0</v>
      </c>
      <c r="V146" s="314">
        <v>0</v>
      </c>
      <c r="W146" s="314">
        <v>0</v>
      </c>
      <c r="X146" s="314">
        <v>0</v>
      </c>
      <c r="Y146" s="314">
        <v>0</v>
      </c>
      <c r="Z146" s="314">
        <v>0</v>
      </c>
      <c r="AA146" s="314">
        <v>0</v>
      </c>
      <c r="AB146" s="314">
        <v>0</v>
      </c>
      <c r="AC146" s="314">
        <v>0</v>
      </c>
      <c r="AD146" s="314">
        <v>0</v>
      </c>
      <c r="AE146" s="314">
        <v>0</v>
      </c>
      <c r="AF146" s="314">
        <v>0</v>
      </c>
      <c r="AG146" s="314">
        <v>0</v>
      </c>
      <c r="AH146" s="314">
        <v>0</v>
      </c>
      <c r="AI146" s="314">
        <v>0</v>
      </c>
      <c r="AJ146" s="314">
        <v>0</v>
      </c>
      <c r="AK146" s="314">
        <v>0</v>
      </c>
      <c r="AL146" s="314">
        <v>0</v>
      </c>
    </row>
    <row r="147" spans="1:40" ht="3.75" customHeight="1">
      <c r="E147" s="53"/>
      <c r="F147" s="313"/>
      <c r="G147" s="314"/>
      <c r="H147" s="314"/>
      <c r="I147" s="314"/>
      <c r="J147" s="314"/>
      <c r="K147" s="314"/>
      <c r="L147" s="314"/>
      <c r="M147" s="314"/>
      <c r="N147" s="314"/>
      <c r="O147" s="314"/>
      <c r="P147" s="314"/>
      <c r="Q147" s="314"/>
      <c r="R147" s="314"/>
      <c r="S147" s="314"/>
      <c r="T147" s="314"/>
      <c r="U147" s="314"/>
      <c r="V147" s="314"/>
      <c r="W147" s="314"/>
      <c r="X147" s="314"/>
      <c r="Y147" s="314"/>
      <c r="Z147" s="314"/>
      <c r="AA147" s="314"/>
      <c r="AB147" s="314"/>
      <c r="AC147" s="314"/>
      <c r="AD147" s="314"/>
      <c r="AE147" s="314"/>
      <c r="AF147" s="314"/>
      <c r="AG147" s="314"/>
      <c r="AH147" s="314"/>
      <c r="AI147" s="314"/>
      <c r="AJ147" s="314"/>
      <c r="AK147" s="314"/>
      <c r="AL147" s="314"/>
    </row>
    <row r="148" spans="1:40" ht="14.25" thickBot="1">
      <c r="C148" s="51"/>
      <c r="E148" s="77" t="s">
        <v>85</v>
      </c>
      <c r="F148" s="346">
        <v>0</v>
      </c>
      <c r="G148" s="347">
        <v>-4733.7337601210893</v>
      </c>
      <c r="H148" s="347">
        <v>-11608.583600075681</v>
      </c>
      <c r="I148" s="347">
        <v>-26950.554544785755</v>
      </c>
      <c r="J148" s="347">
        <v>8761.4178472760796</v>
      </c>
      <c r="K148" s="347">
        <v>45449.00396029494</v>
      </c>
      <c r="L148" s="347">
        <v>61811.77778629036</v>
      </c>
      <c r="M148" s="347">
        <v>75886.938023115072</v>
      </c>
      <c r="N148" s="347">
        <v>85152.466693120688</v>
      </c>
      <c r="O148" s="347">
        <v>86675.290213958418</v>
      </c>
      <c r="P148" s="347">
        <v>90320.795403021271</v>
      </c>
      <c r="Q148" s="347">
        <v>94165.620106444971</v>
      </c>
      <c r="R148" s="347">
        <v>96524.073598271614</v>
      </c>
      <c r="S148" s="347">
        <v>97938.290968499583</v>
      </c>
      <c r="T148" s="347">
        <v>98910.527270535153</v>
      </c>
      <c r="U148" s="347">
        <v>99647.448279396282</v>
      </c>
      <c r="V148" s="347">
        <v>100259.62672942301</v>
      </c>
      <c r="W148" s="347">
        <v>100878.05441967816</v>
      </c>
      <c r="X148" s="347">
        <v>119468.30635895513</v>
      </c>
      <c r="Y148" s="347">
        <v>125014.83400255047</v>
      </c>
      <c r="Z148" s="347">
        <v>128243.0778365219</v>
      </c>
      <c r="AA148" s="347">
        <v>129786.74973002842</v>
      </c>
      <c r="AB148" s="347">
        <v>130673.26597498026</v>
      </c>
      <c r="AC148" s="347">
        <v>131552.89329308883</v>
      </c>
      <c r="AD148" s="347">
        <v>132425.98986943639</v>
      </c>
      <c r="AE148" s="347">
        <v>133292.86508412036</v>
      </c>
      <c r="AF148" s="347">
        <v>134136.6361146413</v>
      </c>
      <c r="AG148" s="347">
        <v>134991.81291422053</v>
      </c>
      <c r="AH148" s="347">
        <v>135638.51164410071</v>
      </c>
      <c r="AI148" s="347">
        <v>134740.20190187322</v>
      </c>
      <c r="AJ148" s="347">
        <v>133818.60679159523</v>
      </c>
      <c r="AK148" s="347">
        <v>132856.14474728407</v>
      </c>
      <c r="AL148" s="347">
        <v>132146.99047164575</v>
      </c>
    </row>
    <row r="149" spans="1:40" ht="3.75" customHeight="1">
      <c r="E149" s="53"/>
      <c r="F149" s="313"/>
      <c r="G149" s="314"/>
      <c r="H149" s="314"/>
      <c r="I149" s="314"/>
      <c r="J149" s="314"/>
      <c r="K149" s="314"/>
      <c r="L149" s="314"/>
      <c r="M149" s="314"/>
      <c r="N149" s="314"/>
      <c r="O149" s="314"/>
      <c r="P149" s="314"/>
      <c r="Q149" s="314"/>
      <c r="R149" s="314"/>
      <c r="S149" s="314"/>
      <c r="T149" s="314"/>
      <c r="U149" s="314"/>
      <c r="V149" s="314"/>
      <c r="W149" s="314"/>
      <c r="X149" s="314"/>
      <c r="Y149" s="314"/>
      <c r="Z149" s="314"/>
      <c r="AA149" s="314"/>
      <c r="AB149" s="314"/>
      <c r="AC149" s="314"/>
      <c r="AD149" s="314"/>
      <c r="AE149" s="314"/>
      <c r="AF149" s="314"/>
      <c r="AG149" s="314"/>
      <c r="AH149" s="314"/>
      <c r="AI149" s="314"/>
      <c r="AJ149" s="314"/>
      <c r="AK149" s="314"/>
      <c r="AL149" s="314"/>
    </row>
    <row r="150" spans="1:40" outlineLevel="1">
      <c r="C150" s="412"/>
      <c r="E150" s="78" t="s">
        <v>232</v>
      </c>
      <c r="F150" s="313"/>
      <c r="G150" s="314"/>
      <c r="H150" s="314"/>
      <c r="I150" s="314">
        <v>-8758.9302270553708</v>
      </c>
      <c r="J150" s="314">
        <v>2847.4608003647259</v>
      </c>
      <c r="K150" s="314">
        <v>14770.926287095856</v>
      </c>
      <c r="L150" s="314">
        <v>20088.827780544369</v>
      </c>
      <c r="M150" s="314">
        <v>24663.254857512398</v>
      </c>
      <c r="N150" s="314">
        <v>27674.551675264225</v>
      </c>
      <c r="O150" s="314">
        <v>28169.469319536485</v>
      </c>
      <c r="P150" s="314">
        <v>29354.258505981914</v>
      </c>
      <c r="Q150" s="314">
        <v>30603.826534594617</v>
      </c>
      <c r="R150" s="314">
        <v>31370.323919438277</v>
      </c>
      <c r="S150" s="314">
        <v>31829.944564762365</v>
      </c>
      <c r="T150" s="314">
        <v>32145.921362923928</v>
      </c>
      <c r="U150" s="314">
        <v>32385.420690803792</v>
      </c>
      <c r="V150" s="314">
        <v>32584.378687062479</v>
      </c>
      <c r="W150" s="314">
        <v>32785.367686395402</v>
      </c>
      <c r="X150" s="314">
        <v>38827.19956666042</v>
      </c>
      <c r="Y150" s="314">
        <v>40629.821050828905</v>
      </c>
      <c r="Z150" s="314">
        <v>41679.000296869621</v>
      </c>
      <c r="AA150" s="314">
        <v>42180.693662259233</v>
      </c>
      <c r="AB150" s="314">
        <v>42468.811441868587</v>
      </c>
      <c r="AC150" s="314">
        <v>42754.690320253867</v>
      </c>
      <c r="AD150" s="314">
        <v>43038.446707566829</v>
      </c>
      <c r="AE150" s="314">
        <v>43320.181152339122</v>
      </c>
      <c r="AF150" s="314">
        <v>43594.406737258425</v>
      </c>
      <c r="AG150" s="314">
        <v>43872.339197121677</v>
      </c>
      <c r="AH150" s="314">
        <v>44082.516284332734</v>
      </c>
      <c r="AI150" s="314">
        <v>43790.565618108798</v>
      </c>
      <c r="AJ150" s="314">
        <v>43491.04720726845</v>
      </c>
      <c r="AK150" s="314">
        <v>43178.247042867326</v>
      </c>
      <c r="AL150" s="314">
        <v>42947.771903284869</v>
      </c>
    </row>
    <row r="151" spans="1:40" outlineLevel="1">
      <c r="C151" s="412"/>
      <c r="E151" s="78" t="s">
        <v>233</v>
      </c>
      <c r="F151" s="313"/>
      <c r="G151" s="314"/>
      <c r="H151" s="314"/>
      <c r="I151" s="314">
        <v>-160000</v>
      </c>
      <c r="J151" s="314">
        <v>-168758.93022705536</v>
      </c>
      <c r="K151" s="314">
        <v>-165911.46942669063</v>
      </c>
      <c r="L151" s="314">
        <v>-151140.54313959478</v>
      </c>
      <c r="M151" s="314">
        <v>-131051.71535905042</v>
      </c>
      <c r="N151" s="314">
        <v>-106388.46050153802</v>
      </c>
      <c r="O151" s="314">
        <v>-78713.908826273793</v>
      </c>
      <c r="P151" s="314">
        <v>-50544.439506737312</v>
      </c>
      <c r="Q151" s="314">
        <v>-21190.181000755398</v>
      </c>
      <c r="R151" s="314">
        <v>0</v>
      </c>
      <c r="S151" s="314">
        <v>0</v>
      </c>
      <c r="T151" s="314">
        <v>0</v>
      </c>
      <c r="U151" s="314">
        <v>0</v>
      </c>
      <c r="V151" s="314">
        <v>0</v>
      </c>
      <c r="W151" s="314">
        <v>0</v>
      </c>
      <c r="X151" s="314">
        <v>0</v>
      </c>
      <c r="Y151" s="314">
        <v>0</v>
      </c>
      <c r="Z151" s="314">
        <v>0</v>
      </c>
      <c r="AA151" s="314">
        <v>0</v>
      </c>
      <c r="AB151" s="314">
        <v>0</v>
      </c>
      <c r="AC151" s="314">
        <v>0</v>
      </c>
      <c r="AD151" s="314">
        <v>0</v>
      </c>
      <c r="AE151" s="314">
        <v>0</v>
      </c>
      <c r="AF151" s="314">
        <v>0</v>
      </c>
      <c r="AG151" s="314">
        <v>0</v>
      </c>
      <c r="AH151" s="314">
        <v>0</v>
      </c>
      <c r="AI151" s="314">
        <v>0</v>
      </c>
      <c r="AJ151" s="314">
        <v>0</v>
      </c>
      <c r="AK151" s="314">
        <v>0</v>
      </c>
      <c r="AL151" s="314">
        <v>0</v>
      </c>
    </row>
    <row r="152" spans="1:40" outlineLevel="1">
      <c r="C152" s="412"/>
      <c r="E152" s="78" t="s">
        <v>234</v>
      </c>
      <c r="F152" s="313"/>
      <c r="G152" s="314"/>
      <c r="H152" s="314"/>
      <c r="I152" s="314">
        <v>0</v>
      </c>
      <c r="J152" s="314">
        <v>0</v>
      </c>
      <c r="K152" s="314">
        <v>0</v>
      </c>
      <c r="L152" s="314">
        <v>0</v>
      </c>
      <c r="M152" s="314">
        <v>0</v>
      </c>
      <c r="N152" s="314">
        <v>0</v>
      </c>
      <c r="O152" s="314">
        <v>0</v>
      </c>
      <c r="P152" s="314">
        <v>0</v>
      </c>
      <c r="Q152" s="314">
        <v>0</v>
      </c>
      <c r="R152" s="314">
        <v>0</v>
      </c>
      <c r="S152" s="314">
        <v>0</v>
      </c>
      <c r="T152" s="314">
        <v>0</v>
      </c>
      <c r="U152" s="314">
        <v>0</v>
      </c>
      <c r="V152" s="314">
        <v>0</v>
      </c>
      <c r="W152" s="314">
        <v>0</v>
      </c>
      <c r="X152" s="314">
        <v>0</v>
      </c>
      <c r="Y152" s="314">
        <v>0</v>
      </c>
      <c r="Z152" s="314">
        <v>0</v>
      </c>
      <c r="AA152" s="314">
        <v>0</v>
      </c>
      <c r="AB152" s="314">
        <v>0</v>
      </c>
      <c r="AC152" s="314">
        <v>0</v>
      </c>
      <c r="AD152" s="314">
        <v>0</v>
      </c>
      <c r="AE152" s="314">
        <v>0</v>
      </c>
      <c r="AF152" s="314">
        <v>0</v>
      </c>
      <c r="AG152" s="314">
        <v>0</v>
      </c>
      <c r="AH152" s="314">
        <v>0</v>
      </c>
      <c r="AI152" s="314">
        <v>0</v>
      </c>
      <c r="AJ152" s="314">
        <v>0</v>
      </c>
      <c r="AK152" s="314">
        <v>0</v>
      </c>
      <c r="AL152" s="314">
        <v>0</v>
      </c>
    </row>
    <row r="153" spans="1:40" outlineLevel="1">
      <c r="C153" s="412"/>
      <c r="E153" s="78" t="s">
        <v>235</v>
      </c>
      <c r="F153" s="313"/>
      <c r="G153" s="314"/>
      <c r="H153" s="314"/>
      <c r="I153" s="314">
        <v>-168758.93022705536</v>
      </c>
      <c r="J153" s="314">
        <v>-165911.46942669063</v>
      </c>
      <c r="K153" s="314">
        <v>-151140.54313959478</v>
      </c>
      <c r="L153" s="314">
        <v>-131051.71535905042</v>
      </c>
      <c r="M153" s="314">
        <v>-106388.46050153802</v>
      </c>
      <c r="N153" s="314">
        <v>-78713.908826273793</v>
      </c>
      <c r="O153" s="314">
        <v>-50544.439506737312</v>
      </c>
      <c r="P153" s="314">
        <v>-21190.181000755398</v>
      </c>
      <c r="Q153" s="314">
        <v>9413.6455338392188</v>
      </c>
      <c r="R153" s="314">
        <v>31370.323919438277</v>
      </c>
      <c r="S153" s="314">
        <v>31829.944564762365</v>
      </c>
      <c r="T153" s="314">
        <v>32145.921362923928</v>
      </c>
      <c r="U153" s="314">
        <v>32385.420690803792</v>
      </c>
      <c r="V153" s="314">
        <v>32584.378687062479</v>
      </c>
      <c r="W153" s="314">
        <v>32785.367686395402</v>
      </c>
      <c r="X153" s="314">
        <v>38827.19956666042</v>
      </c>
      <c r="Y153" s="314">
        <v>40629.821050828905</v>
      </c>
      <c r="Z153" s="314">
        <v>41679.000296869621</v>
      </c>
      <c r="AA153" s="314">
        <v>42180.693662259233</v>
      </c>
      <c r="AB153" s="314">
        <v>42468.811441868587</v>
      </c>
      <c r="AC153" s="314">
        <v>42754.690320253867</v>
      </c>
      <c r="AD153" s="314">
        <v>43038.446707566829</v>
      </c>
      <c r="AE153" s="314">
        <v>43320.181152339122</v>
      </c>
      <c r="AF153" s="314">
        <v>43594.406737258425</v>
      </c>
      <c r="AG153" s="314">
        <v>43872.339197121677</v>
      </c>
      <c r="AH153" s="314">
        <v>44082.516284332734</v>
      </c>
      <c r="AI153" s="314">
        <v>43790.565618108798</v>
      </c>
      <c r="AJ153" s="314">
        <v>43491.04720726845</v>
      </c>
      <c r="AK153" s="314">
        <v>43178.247042867326</v>
      </c>
      <c r="AL153" s="314">
        <v>42947.771903284869</v>
      </c>
    </row>
    <row r="154" spans="1:40">
      <c r="C154" s="412"/>
      <c r="E154" s="53" t="s">
        <v>236</v>
      </c>
      <c r="F154" s="313"/>
      <c r="G154" s="314"/>
      <c r="H154" s="314"/>
      <c r="I154" s="314">
        <v>0</v>
      </c>
      <c r="J154" s="314">
        <v>0</v>
      </c>
      <c r="K154" s="314">
        <v>0</v>
      </c>
      <c r="L154" s="314">
        <v>0</v>
      </c>
      <c r="M154" s="314">
        <v>0</v>
      </c>
      <c r="N154" s="314">
        <v>0</v>
      </c>
      <c r="O154" s="314">
        <v>0</v>
      </c>
      <c r="P154" s="314">
        <v>0</v>
      </c>
      <c r="Q154" s="314">
        <v>9413.6455338392188</v>
      </c>
      <c r="R154" s="314">
        <v>31370.323919438277</v>
      </c>
      <c r="S154" s="314">
        <v>31829.944564762365</v>
      </c>
      <c r="T154" s="314">
        <v>32145.921362923928</v>
      </c>
      <c r="U154" s="314">
        <v>32385.420690803792</v>
      </c>
      <c r="V154" s="314">
        <v>32584.378687062479</v>
      </c>
      <c r="W154" s="314">
        <v>32785.367686395402</v>
      </c>
      <c r="X154" s="314">
        <v>38827.19956666042</v>
      </c>
      <c r="Y154" s="314">
        <v>40629.821050828905</v>
      </c>
      <c r="Z154" s="314">
        <v>41679.000296869621</v>
      </c>
      <c r="AA154" s="314">
        <v>42180.693662259233</v>
      </c>
      <c r="AB154" s="314">
        <v>42468.811441868587</v>
      </c>
      <c r="AC154" s="314">
        <v>42754.690320253867</v>
      </c>
      <c r="AD154" s="314">
        <v>43038.446707566829</v>
      </c>
      <c r="AE154" s="314">
        <v>43320.181152339122</v>
      </c>
      <c r="AF154" s="314">
        <v>43594.406737258425</v>
      </c>
      <c r="AG154" s="314">
        <v>43872.339197121677</v>
      </c>
      <c r="AH154" s="314">
        <v>44082.516284332734</v>
      </c>
      <c r="AI154" s="314">
        <v>43790.565618108798</v>
      </c>
      <c r="AJ154" s="314">
        <v>43491.04720726845</v>
      </c>
      <c r="AK154" s="314">
        <v>43178.247042867326</v>
      </c>
      <c r="AL154" s="314">
        <v>42947.771903284869</v>
      </c>
    </row>
    <row r="155" spans="1:40" ht="3.75" customHeight="1">
      <c r="E155" s="53"/>
      <c r="F155" s="313"/>
      <c r="G155" s="314"/>
      <c r="H155" s="314"/>
      <c r="I155" s="314"/>
      <c r="J155" s="314"/>
      <c r="K155" s="314"/>
      <c r="L155" s="314"/>
      <c r="M155" s="314"/>
      <c r="N155" s="314"/>
      <c r="O155" s="314"/>
      <c r="P155" s="314"/>
      <c r="Q155" s="314"/>
      <c r="R155" s="314"/>
      <c r="S155" s="314"/>
      <c r="T155" s="314"/>
      <c r="U155" s="314"/>
      <c r="V155" s="314"/>
      <c r="W155" s="314"/>
      <c r="X155" s="314"/>
      <c r="Y155" s="314"/>
      <c r="Z155" s="314"/>
      <c r="AA155" s="314"/>
      <c r="AB155" s="314"/>
      <c r="AC155" s="314"/>
      <c r="AD155" s="314"/>
      <c r="AE155" s="314"/>
      <c r="AF155" s="314"/>
      <c r="AG155" s="314"/>
      <c r="AH155" s="314"/>
      <c r="AI155" s="314"/>
      <c r="AJ155" s="314"/>
      <c r="AK155" s="314"/>
      <c r="AL155" s="314"/>
    </row>
    <row r="156" spans="1:40" ht="14.25" thickBot="1">
      <c r="C156" s="51"/>
      <c r="E156" s="48" t="s">
        <v>237</v>
      </c>
      <c r="F156" s="350">
        <v>0</v>
      </c>
      <c r="G156" s="351">
        <v>-4733.7337601210893</v>
      </c>
      <c r="H156" s="351">
        <v>-11608.583600075681</v>
      </c>
      <c r="I156" s="351">
        <v>-26950.554544785755</v>
      </c>
      <c r="J156" s="351">
        <v>8761.4178472760796</v>
      </c>
      <c r="K156" s="351">
        <v>45449.00396029494</v>
      </c>
      <c r="L156" s="351">
        <v>61811.77778629036</v>
      </c>
      <c r="M156" s="351">
        <v>75886.938023115072</v>
      </c>
      <c r="N156" s="351">
        <v>85152.466693120688</v>
      </c>
      <c r="O156" s="351">
        <v>86675.290213958418</v>
      </c>
      <c r="P156" s="351">
        <v>90320.795403021271</v>
      </c>
      <c r="Q156" s="351">
        <v>84751.974572605744</v>
      </c>
      <c r="R156" s="351">
        <v>65153.749678833337</v>
      </c>
      <c r="S156" s="351">
        <v>66108.346403737218</v>
      </c>
      <c r="T156" s="351">
        <v>66764.605907611229</v>
      </c>
      <c r="U156" s="351">
        <v>67262.027588592493</v>
      </c>
      <c r="V156" s="351">
        <v>67675.24804236053</v>
      </c>
      <c r="W156" s="351">
        <v>68092.686733282753</v>
      </c>
      <c r="X156" s="351">
        <v>80641.106792294711</v>
      </c>
      <c r="Y156" s="351">
        <v>84385.012951721568</v>
      </c>
      <c r="Z156" s="351">
        <v>86564.07753965228</v>
      </c>
      <c r="AA156" s="351">
        <v>87606.056067769183</v>
      </c>
      <c r="AB156" s="351">
        <v>88204.454533111668</v>
      </c>
      <c r="AC156" s="351">
        <v>88798.202972834959</v>
      </c>
      <c r="AD156" s="351">
        <v>89387.543161869573</v>
      </c>
      <c r="AE156" s="351">
        <v>89972.683931781241</v>
      </c>
      <c r="AF156" s="351">
        <v>90542.229377382871</v>
      </c>
      <c r="AG156" s="351">
        <v>91119.473717098852</v>
      </c>
      <c r="AH156" s="351">
        <v>91555.995359767985</v>
      </c>
      <c r="AI156" s="351">
        <v>90949.636283764426</v>
      </c>
      <c r="AJ156" s="351">
        <v>90327.55958432678</v>
      </c>
      <c r="AK156" s="351">
        <v>89677.89770441674</v>
      </c>
      <c r="AL156" s="351">
        <v>89199.218568360884</v>
      </c>
    </row>
    <row r="157" spans="1:40" ht="3.75" customHeight="1">
      <c r="E157" s="79"/>
      <c r="F157" s="352"/>
      <c r="G157" s="353"/>
      <c r="H157" s="353"/>
      <c r="I157" s="353"/>
      <c r="J157" s="353"/>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row>
    <row r="158" spans="1:40" s="60" customFormat="1">
      <c r="A158" s="59"/>
      <c r="B158" s="18"/>
      <c r="C158" s="418"/>
      <c r="E158" s="248" t="s">
        <v>413</v>
      </c>
      <c r="F158" s="354">
        <v>0</v>
      </c>
      <c r="G158" s="355">
        <v>-4733.7337601210893</v>
      </c>
      <c r="H158" s="355">
        <v>-11608.583600075681</v>
      </c>
      <c r="I158" s="355">
        <v>-8280.9416014517956</v>
      </c>
      <c r="J158" s="355">
        <v>30671.211085989915</v>
      </c>
      <c r="K158" s="355">
        <v>72043.015585508547</v>
      </c>
      <c r="L158" s="355">
        <v>89674.96236708558</v>
      </c>
      <c r="M158" s="355">
        <v>104489.93568204496</v>
      </c>
      <c r="N158" s="355">
        <v>114829.659399936</v>
      </c>
      <c r="O158" s="355">
        <v>116753.17042009893</v>
      </c>
      <c r="P158" s="355">
        <v>120529.89792523651</v>
      </c>
      <c r="Q158" s="355">
        <v>115265.41178290911</v>
      </c>
      <c r="R158" s="355">
        <v>96109.862763215759</v>
      </c>
      <c r="S158" s="355">
        <v>97383.898765068821</v>
      </c>
      <c r="T158" s="355">
        <v>98351.122501022401</v>
      </c>
      <c r="U158" s="355">
        <v>99171.421095784244</v>
      </c>
      <c r="V158" s="355">
        <v>99909.481416627968</v>
      </c>
      <c r="W158" s="355">
        <v>100635.64562810873</v>
      </c>
      <c r="X158" s="355">
        <v>95513.428904882938</v>
      </c>
      <c r="Y158" s="355">
        <v>94621.506045227274</v>
      </c>
      <c r="Z158" s="355">
        <v>94474.696804359963</v>
      </c>
      <c r="AA158" s="355">
        <v>94852.834210507819</v>
      </c>
      <c r="AB158" s="355">
        <v>95449.878519937061</v>
      </c>
      <c r="AC158" s="355">
        <v>96044.314884392807</v>
      </c>
      <c r="AD158" s="355">
        <v>96634.316991291504</v>
      </c>
      <c r="AE158" s="355">
        <v>97220.097782190656</v>
      </c>
      <c r="AF158" s="355">
        <v>97792.379129997978</v>
      </c>
      <c r="AG158" s="355">
        <v>98368.117437272304</v>
      </c>
      <c r="AH158" s="355">
        <v>98821.914155696009</v>
      </c>
      <c r="AI158" s="355">
        <v>98342.685925030761</v>
      </c>
      <c r="AJ158" s="355">
        <v>97722.671008627454</v>
      </c>
      <c r="AK158" s="355">
        <v>97077.23886990374</v>
      </c>
      <c r="AL158" s="355">
        <v>96338.718761100798</v>
      </c>
      <c r="AN158" s="59"/>
    </row>
    <row r="159" spans="1:40">
      <c r="C159" s="417"/>
      <c r="E159" s="249" t="s">
        <v>237</v>
      </c>
      <c r="F159" s="356">
        <v>0</v>
      </c>
      <c r="G159" s="357">
        <v>-4733.7337601210893</v>
      </c>
      <c r="H159" s="357">
        <v>-11608.583600075681</v>
      </c>
      <c r="I159" s="357">
        <v>-26950.554544785755</v>
      </c>
      <c r="J159" s="357">
        <v>8761.4178472760796</v>
      </c>
      <c r="K159" s="357">
        <v>45449.00396029494</v>
      </c>
      <c r="L159" s="357">
        <v>61811.77778629036</v>
      </c>
      <c r="M159" s="357">
        <v>75886.938023115072</v>
      </c>
      <c r="N159" s="357">
        <v>85152.466693120688</v>
      </c>
      <c r="O159" s="357">
        <v>86675.290213958418</v>
      </c>
      <c r="P159" s="357">
        <v>90320.795403021271</v>
      </c>
      <c r="Q159" s="357">
        <v>84751.974572605744</v>
      </c>
      <c r="R159" s="357">
        <v>65153.749678833337</v>
      </c>
      <c r="S159" s="357">
        <v>66108.346403737218</v>
      </c>
      <c r="T159" s="357">
        <v>66764.605907611229</v>
      </c>
      <c r="U159" s="357">
        <v>67262.027588592493</v>
      </c>
      <c r="V159" s="357">
        <v>67675.24804236053</v>
      </c>
      <c r="W159" s="357">
        <v>68092.686733282753</v>
      </c>
      <c r="X159" s="357">
        <v>80641.106792294711</v>
      </c>
      <c r="Y159" s="357">
        <v>84385.012951721568</v>
      </c>
      <c r="Z159" s="357">
        <v>86564.07753965228</v>
      </c>
      <c r="AA159" s="357">
        <v>87606.056067769183</v>
      </c>
      <c r="AB159" s="357">
        <v>88204.454533111668</v>
      </c>
      <c r="AC159" s="357">
        <v>88798.202972834959</v>
      </c>
      <c r="AD159" s="357">
        <v>89387.543161869573</v>
      </c>
      <c r="AE159" s="357">
        <v>89972.683931781241</v>
      </c>
      <c r="AF159" s="357">
        <v>90542.229377382871</v>
      </c>
      <c r="AG159" s="357">
        <v>91119.473717098852</v>
      </c>
      <c r="AH159" s="357">
        <v>91555.995359767985</v>
      </c>
      <c r="AI159" s="357">
        <v>90949.636283764426</v>
      </c>
      <c r="AJ159" s="357">
        <v>90327.55958432678</v>
      </c>
      <c r="AK159" s="357">
        <v>89677.89770441674</v>
      </c>
      <c r="AL159" s="357">
        <v>89199.218568360884</v>
      </c>
    </row>
    <row r="160" spans="1:40">
      <c r="C160" s="417"/>
      <c r="E160" s="249" t="s">
        <v>82</v>
      </c>
      <c r="F160" s="356">
        <v>0</v>
      </c>
      <c r="G160" s="357">
        <v>0</v>
      </c>
      <c r="H160" s="357">
        <v>0</v>
      </c>
      <c r="I160" s="357">
        <v>20648.004716666666</v>
      </c>
      <c r="J160" s="357">
        <v>25594.48476383333</v>
      </c>
      <c r="K160" s="357">
        <v>28230.964810999998</v>
      </c>
      <c r="L160" s="357">
        <v>29207.444858166666</v>
      </c>
      <c r="M160" s="357">
        <v>29517.258238666669</v>
      </c>
      <c r="N160" s="357">
        <v>29827.071619166669</v>
      </c>
      <c r="O160" s="357">
        <v>30136.884999666669</v>
      </c>
      <c r="P160" s="357">
        <v>30446.698380166668</v>
      </c>
      <c r="Q160" s="357">
        <v>30756.511760666668</v>
      </c>
      <c r="R160" s="357">
        <v>31066.325141166668</v>
      </c>
      <c r="S160" s="357">
        <v>31376.138521666668</v>
      </c>
      <c r="T160" s="357">
        <v>31685.951902166667</v>
      </c>
      <c r="U160" s="357">
        <v>31995.765282666667</v>
      </c>
      <c r="V160" s="357">
        <v>32305.578663166667</v>
      </c>
      <c r="W160" s="357">
        <v>32615.392043666667</v>
      </c>
      <c r="X160" s="357">
        <v>14943.867374166664</v>
      </c>
      <c r="Y160" s="357">
        <v>10307.200707499998</v>
      </c>
      <c r="Z160" s="357">
        <v>7980.5340408333313</v>
      </c>
      <c r="AA160" s="357">
        <v>7313.8673741666644</v>
      </c>
      <c r="AB160" s="357">
        <v>7313.8673741666644</v>
      </c>
      <c r="AC160" s="357">
        <v>7313.8673741666644</v>
      </c>
      <c r="AD160" s="357">
        <v>7313.8673741666644</v>
      </c>
      <c r="AE160" s="357">
        <v>7313.8673741666644</v>
      </c>
      <c r="AF160" s="357">
        <v>7313.8673741666644</v>
      </c>
      <c r="AG160" s="357">
        <v>7313.8673741666644</v>
      </c>
      <c r="AH160" s="357">
        <v>7313.8673741666644</v>
      </c>
      <c r="AI160" s="357">
        <v>7313.8673741666644</v>
      </c>
      <c r="AJ160" s="357">
        <v>7313.8673741666644</v>
      </c>
      <c r="AK160" s="357">
        <v>7313.8673741666644</v>
      </c>
      <c r="AL160" s="357">
        <v>7054.0539936666646</v>
      </c>
    </row>
    <row r="161" spans="1:40">
      <c r="C161" s="417"/>
      <c r="E161" s="249" t="s">
        <v>385</v>
      </c>
      <c r="F161" s="356">
        <v>0</v>
      </c>
      <c r="G161" s="357">
        <v>0</v>
      </c>
      <c r="H161" s="357">
        <v>0</v>
      </c>
      <c r="I161" s="357">
        <v>-3361.715099240007</v>
      </c>
      <c r="J161" s="357">
        <v>-5976.0718467686256</v>
      </c>
      <c r="K161" s="357">
        <v>-6443.8733878626354</v>
      </c>
      <c r="L161" s="357">
        <v>-3033.1313841246065</v>
      </c>
      <c r="M161" s="357">
        <v>-1341.0883843122465</v>
      </c>
      <c r="N161" s="357">
        <v>-239.25689622819118</v>
      </c>
      <c r="O161" s="357">
        <v>-86.132482642147806</v>
      </c>
      <c r="P161" s="357">
        <v>-226.09776693563254</v>
      </c>
      <c r="Q161" s="357">
        <v>-237.40265528241798</v>
      </c>
      <c r="R161" s="357">
        <v>-9.7754034528043121</v>
      </c>
      <c r="S161" s="357">
        <v>0</v>
      </c>
      <c r="T161" s="357">
        <v>0</v>
      </c>
      <c r="U161" s="357">
        <v>0</v>
      </c>
      <c r="V161" s="357">
        <v>0</v>
      </c>
      <c r="W161" s="357">
        <v>0</v>
      </c>
      <c r="X161" s="357">
        <v>0</v>
      </c>
      <c r="Y161" s="357">
        <v>0</v>
      </c>
      <c r="Z161" s="357">
        <v>0</v>
      </c>
      <c r="AA161" s="357">
        <v>0</v>
      </c>
      <c r="AB161" s="357">
        <v>0</v>
      </c>
      <c r="AC161" s="357">
        <v>0</v>
      </c>
      <c r="AD161" s="357">
        <v>0</v>
      </c>
      <c r="AE161" s="357">
        <v>0</v>
      </c>
      <c r="AF161" s="357">
        <v>0</v>
      </c>
      <c r="AG161" s="357">
        <v>0</v>
      </c>
      <c r="AH161" s="357">
        <v>0</v>
      </c>
      <c r="AI161" s="357">
        <v>0</v>
      </c>
      <c r="AJ161" s="357">
        <v>0</v>
      </c>
      <c r="AK161" s="357">
        <v>0</v>
      </c>
      <c r="AL161" s="357">
        <v>0</v>
      </c>
    </row>
    <row r="162" spans="1:40">
      <c r="C162" s="417"/>
      <c r="E162" s="249" t="s">
        <v>386</v>
      </c>
      <c r="F162" s="356">
        <v>0</v>
      </c>
      <c r="G162" s="357">
        <v>0</v>
      </c>
      <c r="H162" s="357">
        <v>0</v>
      </c>
      <c r="I162" s="357">
        <v>3458.6404358883915</v>
      </c>
      <c r="J162" s="357">
        <v>4368.6851662294812</v>
      </c>
      <c r="K162" s="357">
        <v>4574.3614630310194</v>
      </c>
      <c r="L162" s="357">
        <v>2547.614410531678</v>
      </c>
      <c r="M162" s="357">
        <v>652.55833935593546</v>
      </c>
      <c r="N162" s="357">
        <v>143.85221077837741</v>
      </c>
      <c r="O162" s="357">
        <v>27.980618390411109</v>
      </c>
      <c r="P162" s="357">
        <v>-10.052357490609211</v>
      </c>
      <c r="Q162" s="357">
        <v>-2.4399328987874469</v>
      </c>
      <c r="R162" s="357">
        <v>-143.72567415822596</v>
      </c>
      <c r="S162" s="357">
        <v>-144.08827938979812</v>
      </c>
      <c r="T162" s="357">
        <v>-142.50422840918873</v>
      </c>
      <c r="U162" s="357">
        <v>-129.04944526370491</v>
      </c>
      <c r="V162" s="357">
        <v>-113.67022568138236</v>
      </c>
      <c r="W162" s="357">
        <v>-114.44067995610931</v>
      </c>
      <c r="X162" s="357">
        <v>-113.26774558894431</v>
      </c>
      <c r="Y162" s="357">
        <v>-112.17464099121025</v>
      </c>
      <c r="Z162" s="357">
        <v>-111.15334939373315</v>
      </c>
      <c r="AA162" s="357">
        <v>-108.12393207614332</v>
      </c>
      <c r="AB162" s="357">
        <v>-109.29652335022729</v>
      </c>
      <c r="AC162" s="357">
        <v>-108.447203602429</v>
      </c>
      <c r="AD162" s="357">
        <v>-107.64204365929072</v>
      </c>
      <c r="AE162" s="357">
        <v>-106.87502646788016</v>
      </c>
      <c r="AF162" s="357">
        <v>-104.02656540669341</v>
      </c>
      <c r="AG162" s="357">
        <v>-105.43275611251192</v>
      </c>
      <c r="AH162" s="357">
        <v>-79.729980396188694</v>
      </c>
      <c r="AI162" s="357">
        <v>110.75051616502969</v>
      </c>
      <c r="AJ162" s="357">
        <v>113.62131496578331</v>
      </c>
      <c r="AK162" s="357">
        <v>118.65970409315923</v>
      </c>
      <c r="AL162" s="357">
        <v>119.46176582527187</v>
      </c>
    </row>
    <row r="163" spans="1:40">
      <c r="C163" s="417"/>
      <c r="E163" s="249" t="s">
        <v>387</v>
      </c>
      <c r="F163" s="356">
        <v>0</v>
      </c>
      <c r="G163" s="357">
        <v>0</v>
      </c>
      <c r="H163" s="357">
        <v>0</v>
      </c>
      <c r="I163" s="357">
        <v>-2075.3171099810916</v>
      </c>
      <c r="J163" s="357">
        <v>-2077.3048445803533</v>
      </c>
      <c r="K163" s="357">
        <v>232.55873904523241</v>
      </c>
      <c r="L163" s="357">
        <v>-858.74330377852266</v>
      </c>
      <c r="M163" s="357">
        <v>-225.73053478046404</v>
      </c>
      <c r="N163" s="357">
        <v>-54.47422690154508</v>
      </c>
      <c r="O163" s="357">
        <v>-0.85292927442151267</v>
      </c>
      <c r="P163" s="357">
        <v>-1.4457335251736367</v>
      </c>
      <c r="Q163" s="357">
        <v>-3.2319621820879547</v>
      </c>
      <c r="R163" s="357">
        <v>43.289020826774504</v>
      </c>
      <c r="S163" s="357">
        <v>43.502119054719515</v>
      </c>
      <c r="T163" s="357">
        <v>43.068919653694138</v>
      </c>
      <c r="U163" s="357">
        <v>42.677669788795356</v>
      </c>
      <c r="V163" s="357">
        <v>42.324936782149962</v>
      </c>
      <c r="W163" s="357">
        <v>42.007531115425991</v>
      </c>
      <c r="X163" s="357">
        <v>41.722484010503649</v>
      </c>
      <c r="Y163" s="357">
        <v>41.46702699692014</v>
      </c>
      <c r="Z163" s="357">
        <v>41.238573268083201</v>
      </c>
      <c r="AA163" s="357">
        <v>41.034700648106082</v>
      </c>
      <c r="AB163" s="357">
        <v>40.853136008969159</v>
      </c>
      <c r="AC163" s="357">
        <v>40.691740993599524</v>
      </c>
      <c r="AD163" s="357">
        <v>40.548498914546144</v>
      </c>
      <c r="AE163" s="357">
        <v>40.421502710621098</v>
      </c>
      <c r="AF163" s="357">
        <v>40.308943855128746</v>
      </c>
      <c r="AG163" s="357">
        <v>40.209102119295494</v>
      </c>
      <c r="AH163" s="357">
        <v>31.781402157547745</v>
      </c>
      <c r="AI163" s="357">
        <v>-31.568249065362579</v>
      </c>
      <c r="AJ163" s="357">
        <v>-32.377264831788125</v>
      </c>
      <c r="AK163" s="357">
        <v>-33.185912772828488</v>
      </c>
      <c r="AL163" s="357">
        <v>-34.015566752021186</v>
      </c>
    </row>
    <row r="164" spans="1:40">
      <c r="C164" s="417"/>
      <c r="E164" s="250"/>
      <c r="F164" s="356"/>
      <c r="G164" s="357"/>
      <c r="H164" s="357"/>
      <c r="I164" s="357"/>
      <c r="J164" s="357"/>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row>
    <row r="165" spans="1:40" s="60" customFormat="1">
      <c r="A165" s="59"/>
      <c r="B165" s="18"/>
      <c r="C165" s="418"/>
      <c r="E165" s="248" t="s">
        <v>414</v>
      </c>
      <c r="F165" s="354">
        <v>0</v>
      </c>
      <c r="G165" s="355">
        <v>-69944.014150000003</v>
      </c>
      <c r="H165" s="355">
        <v>-104916.02122499999</v>
      </c>
      <c r="I165" s="355">
        <v>-174860.03537500001</v>
      </c>
      <c r="J165" s="355">
        <v>-74197.2007075</v>
      </c>
      <c r="K165" s="355">
        <v>-39547.2007075</v>
      </c>
      <c r="L165" s="355">
        <v>-14647.2007075</v>
      </c>
      <c r="M165" s="355">
        <v>-4647.2007074999992</v>
      </c>
      <c r="N165" s="355">
        <v>-4647.2007074999992</v>
      </c>
      <c r="O165" s="355">
        <v>-4647.2007074999992</v>
      </c>
      <c r="P165" s="355">
        <v>-4647.2007074999992</v>
      </c>
      <c r="Q165" s="355">
        <v>-4647.2007074999992</v>
      </c>
      <c r="R165" s="355">
        <v>-4647.2007074999992</v>
      </c>
      <c r="S165" s="355">
        <v>-4647.2007074999992</v>
      </c>
      <c r="T165" s="355">
        <v>-4647.2007074999992</v>
      </c>
      <c r="U165" s="355">
        <v>-4647.2007074999992</v>
      </c>
      <c r="V165" s="355">
        <v>-4647.2007074999992</v>
      </c>
      <c r="W165" s="355">
        <v>-4647.2007074999992</v>
      </c>
      <c r="X165" s="355">
        <v>-4647.2007074999992</v>
      </c>
      <c r="Y165" s="355">
        <v>-4647.2007074999992</v>
      </c>
      <c r="Z165" s="355">
        <v>-4647.2007074999992</v>
      </c>
      <c r="AA165" s="355">
        <v>-4647.2007074999992</v>
      </c>
      <c r="AB165" s="355">
        <v>-4647.2007074999992</v>
      </c>
      <c r="AC165" s="355">
        <v>-4647.2007074999992</v>
      </c>
      <c r="AD165" s="355">
        <v>-4647.2007074999992</v>
      </c>
      <c r="AE165" s="355">
        <v>-4647.2007074999992</v>
      </c>
      <c r="AF165" s="355">
        <v>-4647.2007074999992</v>
      </c>
      <c r="AG165" s="355">
        <v>-4647.2007074999992</v>
      </c>
      <c r="AH165" s="355">
        <v>-4647.2007074999992</v>
      </c>
      <c r="AI165" s="355">
        <v>-4647.2007074999992</v>
      </c>
      <c r="AJ165" s="355">
        <v>-4647.2007074999992</v>
      </c>
      <c r="AK165" s="355">
        <v>-4647.2007074999992</v>
      </c>
      <c r="AL165" s="355">
        <v>-750</v>
      </c>
      <c r="AN165" s="59"/>
    </row>
    <row r="166" spans="1:40">
      <c r="C166" s="417"/>
      <c r="E166" s="250"/>
      <c r="F166" s="356"/>
      <c r="G166" s="357"/>
      <c r="H166" s="357"/>
      <c r="I166" s="357"/>
      <c r="J166" s="357"/>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row>
    <row r="167" spans="1:40" s="60" customFormat="1">
      <c r="A167" s="59"/>
      <c r="B167" s="18"/>
      <c r="C167" s="418"/>
      <c r="E167" s="248" t="s">
        <v>392</v>
      </c>
      <c r="F167" s="354">
        <v>0</v>
      </c>
      <c r="G167" s="355">
        <v>29114.448001009081</v>
      </c>
      <c r="H167" s="355">
        <v>50957.081999621594</v>
      </c>
      <c r="I167" s="355">
        <v>63251.478214880161</v>
      </c>
      <c r="J167" s="355">
        <v>17938.539119217035</v>
      </c>
      <c r="K167" s="355">
        <v>-10001.262894573189</v>
      </c>
      <c r="L167" s="355">
        <v>-30557.922471428297</v>
      </c>
      <c r="M167" s="355">
        <v>-71192.585559986008</v>
      </c>
      <c r="N167" s="355">
        <v>-9196.7781870952986</v>
      </c>
      <c r="O167" s="355">
        <v>-10208.423787675783</v>
      </c>
      <c r="P167" s="355">
        <v>-11331.350404320117</v>
      </c>
      <c r="Q167" s="355">
        <v>-12577.798948795331</v>
      </c>
      <c r="R167" s="355">
        <v>-5048.3155162587154</v>
      </c>
      <c r="S167" s="355">
        <v>-1147.1095645951227</v>
      </c>
      <c r="T167" s="355">
        <v>0</v>
      </c>
      <c r="U167" s="355">
        <v>0</v>
      </c>
      <c r="V167" s="355">
        <v>0</v>
      </c>
      <c r="W167" s="355">
        <v>0</v>
      </c>
      <c r="X167" s="355">
        <v>0</v>
      </c>
      <c r="Y167" s="355">
        <v>0</v>
      </c>
      <c r="Z167" s="355">
        <v>0</v>
      </c>
      <c r="AA167" s="355">
        <v>0</v>
      </c>
      <c r="AB167" s="355">
        <v>0</v>
      </c>
      <c r="AC167" s="355">
        <v>0</v>
      </c>
      <c r="AD167" s="355">
        <v>0</v>
      </c>
      <c r="AE167" s="355">
        <v>0</v>
      </c>
      <c r="AF167" s="355">
        <v>0</v>
      </c>
      <c r="AG167" s="355">
        <v>0</v>
      </c>
      <c r="AH167" s="355">
        <v>0</v>
      </c>
      <c r="AI167" s="355">
        <v>0</v>
      </c>
      <c r="AJ167" s="355">
        <v>0</v>
      </c>
      <c r="AK167" s="355">
        <v>0</v>
      </c>
      <c r="AL167" s="355">
        <v>0</v>
      </c>
      <c r="AN167" s="59"/>
    </row>
    <row r="168" spans="1:40">
      <c r="C168" s="417"/>
      <c r="E168" s="249" t="s">
        <v>415</v>
      </c>
      <c r="F168" s="356">
        <v>0</v>
      </c>
      <c r="G168" s="357">
        <v>29114.448001009081</v>
      </c>
      <c r="H168" s="357">
        <v>50957.081999621594</v>
      </c>
      <c r="I168" s="357">
        <v>84928.469999369321</v>
      </c>
      <c r="J168" s="357">
        <v>42000</v>
      </c>
      <c r="K168" s="357">
        <v>21000</v>
      </c>
      <c r="L168" s="357">
        <v>6000</v>
      </c>
      <c r="M168" s="357">
        <v>0</v>
      </c>
      <c r="N168" s="357">
        <v>0</v>
      </c>
      <c r="O168" s="357">
        <v>0</v>
      </c>
      <c r="P168" s="357">
        <v>0</v>
      </c>
      <c r="Q168" s="357">
        <v>0</v>
      </c>
      <c r="R168" s="357">
        <v>0</v>
      </c>
      <c r="S168" s="357">
        <v>0</v>
      </c>
      <c r="T168" s="357">
        <v>0</v>
      </c>
      <c r="U168" s="357">
        <v>0</v>
      </c>
      <c r="V168" s="357">
        <v>0</v>
      </c>
      <c r="W168" s="357">
        <v>0</v>
      </c>
      <c r="X168" s="357">
        <v>0</v>
      </c>
      <c r="Y168" s="357">
        <v>0</v>
      </c>
      <c r="Z168" s="357">
        <v>0</v>
      </c>
      <c r="AA168" s="357">
        <v>0</v>
      </c>
      <c r="AB168" s="357">
        <v>0</v>
      </c>
      <c r="AC168" s="357">
        <v>0</v>
      </c>
      <c r="AD168" s="357">
        <v>0</v>
      </c>
      <c r="AE168" s="357">
        <v>0</v>
      </c>
      <c r="AF168" s="357">
        <v>0</v>
      </c>
      <c r="AG168" s="357">
        <v>0</v>
      </c>
      <c r="AH168" s="357">
        <v>0</v>
      </c>
      <c r="AI168" s="357">
        <v>0</v>
      </c>
      <c r="AJ168" s="357">
        <v>0</v>
      </c>
      <c r="AK168" s="357">
        <v>0</v>
      </c>
      <c r="AL168" s="357">
        <v>0</v>
      </c>
    </row>
    <row r="169" spans="1:40">
      <c r="C169" s="417"/>
      <c r="E169" s="249" t="s">
        <v>416</v>
      </c>
      <c r="F169" s="356">
        <v>0</v>
      </c>
      <c r="G169" s="357">
        <v>0</v>
      </c>
      <c r="H169" s="357">
        <v>0</v>
      </c>
      <c r="I169" s="357">
        <v>-21676.991784489157</v>
      </c>
      <c r="J169" s="357">
        <v>-24061.460880782965</v>
      </c>
      <c r="K169" s="357">
        <v>-31001.262894573189</v>
      </c>
      <c r="L169" s="357">
        <v>-36557.922471428297</v>
      </c>
      <c r="M169" s="357">
        <v>-71192.585559986008</v>
      </c>
      <c r="N169" s="357">
        <v>-9196.7781870952986</v>
      </c>
      <c r="O169" s="357">
        <v>-10208.423787675783</v>
      </c>
      <c r="P169" s="357">
        <v>-11331.350404320117</v>
      </c>
      <c r="Q169" s="357">
        <v>-12577.798948795331</v>
      </c>
      <c r="R169" s="357">
        <v>-5048.3155162587154</v>
      </c>
      <c r="S169" s="357">
        <v>-1147.1095645951227</v>
      </c>
      <c r="T169" s="357">
        <v>0</v>
      </c>
      <c r="U169" s="357">
        <v>0</v>
      </c>
      <c r="V169" s="357">
        <v>0</v>
      </c>
      <c r="W169" s="357">
        <v>0</v>
      </c>
      <c r="X169" s="357">
        <v>0</v>
      </c>
      <c r="Y169" s="357">
        <v>0</v>
      </c>
      <c r="Z169" s="357">
        <v>0</v>
      </c>
      <c r="AA169" s="357">
        <v>0</v>
      </c>
      <c r="AB169" s="357">
        <v>0</v>
      </c>
      <c r="AC169" s="357">
        <v>0</v>
      </c>
      <c r="AD169" s="357">
        <v>0</v>
      </c>
      <c r="AE169" s="357">
        <v>0</v>
      </c>
      <c r="AF169" s="357">
        <v>0</v>
      </c>
      <c r="AG169" s="357">
        <v>0</v>
      </c>
      <c r="AH169" s="357">
        <v>0</v>
      </c>
      <c r="AI169" s="357">
        <v>0</v>
      </c>
      <c r="AJ169" s="357">
        <v>0</v>
      </c>
      <c r="AK169" s="357">
        <v>0</v>
      </c>
      <c r="AL169" s="357">
        <v>0</v>
      </c>
    </row>
    <row r="170" spans="1:40" s="60" customFormat="1">
      <c r="A170" s="59"/>
      <c r="B170" s="18"/>
      <c r="C170" s="418"/>
      <c r="E170" s="251" t="s">
        <v>261</v>
      </c>
      <c r="F170" s="358">
        <v>0</v>
      </c>
      <c r="G170" s="359">
        <v>-45563.299909112015</v>
      </c>
      <c r="H170" s="359">
        <v>-65567.522825454071</v>
      </c>
      <c r="I170" s="359">
        <v>-119889.49876157165</v>
      </c>
      <c r="J170" s="359">
        <v>-25587.450502293053</v>
      </c>
      <c r="K170" s="359">
        <v>22494.551983435358</v>
      </c>
      <c r="L170" s="359">
        <v>44469.839188157282</v>
      </c>
      <c r="M170" s="359">
        <v>28650.149414558953</v>
      </c>
      <c r="N170" s="359">
        <v>100985.6805053407</v>
      </c>
      <c r="O170" s="359">
        <v>101897.54592492315</v>
      </c>
      <c r="P170" s="359">
        <v>104551.3468134164</v>
      </c>
      <c r="Q170" s="359">
        <v>98040.412126613781</v>
      </c>
      <c r="R170" s="359">
        <v>86414.346539457038</v>
      </c>
      <c r="S170" s="359">
        <v>91589.588492973693</v>
      </c>
      <c r="T170" s="359">
        <v>93703.921793522401</v>
      </c>
      <c r="U170" s="359">
        <v>94524.220388284244</v>
      </c>
      <c r="V170" s="359">
        <v>95262.280709127968</v>
      </c>
      <c r="W170" s="359">
        <v>95988.44492060873</v>
      </c>
      <c r="X170" s="359">
        <v>90866.228197382938</v>
      </c>
      <c r="Y170" s="359">
        <v>89974.305337727274</v>
      </c>
      <c r="Z170" s="359">
        <v>89827.496096859963</v>
      </c>
      <c r="AA170" s="359">
        <v>90205.633503007819</v>
      </c>
      <c r="AB170" s="359">
        <v>90802.677812437061</v>
      </c>
      <c r="AC170" s="359">
        <v>91397.114176892806</v>
      </c>
      <c r="AD170" s="359">
        <v>91987.116283791504</v>
      </c>
      <c r="AE170" s="359">
        <v>92572.897074690656</v>
      </c>
      <c r="AF170" s="359">
        <v>93145.178422497978</v>
      </c>
      <c r="AG170" s="359">
        <v>93720.916729772303</v>
      </c>
      <c r="AH170" s="359">
        <v>94174.713448196009</v>
      </c>
      <c r="AI170" s="359">
        <v>93695.485217530761</v>
      </c>
      <c r="AJ170" s="359">
        <v>93075.470301127454</v>
      </c>
      <c r="AK170" s="359">
        <v>92430.03816240374</v>
      </c>
      <c r="AL170" s="359">
        <v>95588.718761100798</v>
      </c>
      <c r="AN170" s="59"/>
    </row>
    <row r="171" spans="1:40" ht="4.5" customHeight="1">
      <c r="C171" s="417"/>
      <c r="E171" s="250"/>
      <c r="F171" s="356"/>
      <c r="G171" s="357"/>
      <c r="H171" s="357"/>
      <c r="I171" s="357"/>
      <c r="J171" s="357"/>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row>
    <row r="172" spans="1:40" s="60" customFormat="1">
      <c r="A172" s="59"/>
      <c r="B172" s="18"/>
      <c r="C172" s="418"/>
      <c r="E172" s="252" t="s">
        <v>95</v>
      </c>
      <c r="F172" s="360"/>
      <c r="G172" s="361"/>
      <c r="H172" s="361"/>
      <c r="I172" s="361"/>
      <c r="J172" s="361"/>
      <c r="K172" s="361"/>
      <c r="L172" s="361"/>
      <c r="M172" s="361"/>
      <c r="N172" s="361"/>
      <c r="O172" s="361"/>
      <c r="P172" s="361"/>
      <c r="Q172" s="361"/>
      <c r="R172" s="361"/>
      <c r="S172" s="361"/>
      <c r="T172" s="361"/>
      <c r="U172" s="361"/>
      <c r="V172" s="361"/>
      <c r="W172" s="361"/>
      <c r="X172" s="361"/>
      <c r="Y172" s="361"/>
      <c r="Z172" s="361"/>
      <c r="AA172" s="361"/>
      <c r="AB172" s="361"/>
      <c r="AC172" s="361"/>
      <c r="AD172" s="361"/>
      <c r="AE172" s="361"/>
      <c r="AF172" s="361"/>
      <c r="AG172" s="361"/>
      <c r="AH172" s="361"/>
      <c r="AI172" s="361"/>
      <c r="AJ172" s="361"/>
      <c r="AK172" s="361"/>
      <c r="AL172" s="361"/>
      <c r="AM172" s="253"/>
      <c r="AN172" s="254"/>
    </row>
    <row r="173" spans="1:40" ht="4.5" customHeight="1">
      <c r="C173" s="417"/>
      <c r="E173" s="250"/>
      <c r="F173" s="356"/>
      <c r="G173" s="357"/>
      <c r="H173" s="357"/>
      <c r="I173" s="357"/>
      <c r="J173" s="357"/>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row>
    <row r="174" spans="1:40" s="60" customFormat="1">
      <c r="A174" s="59"/>
      <c r="B174" s="18"/>
      <c r="C174" s="418"/>
      <c r="E174" s="255" t="s">
        <v>321</v>
      </c>
      <c r="F174" s="362"/>
      <c r="G174" s="363"/>
      <c r="H174" s="363"/>
      <c r="I174" s="363"/>
      <c r="J174" s="363"/>
      <c r="K174" s="363"/>
      <c r="L174" s="363"/>
      <c r="M174" s="363"/>
      <c r="N174" s="363"/>
      <c r="O174" s="363"/>
      <c r="P174" s="363"/>
      <c r="Q174" s="363"/>
      <c r="R174" s="363"/>
      <c r="S174" s="363"/>
      <c r="T174" s="363"/>
      <c r="U174" s="363"/>
      <c r="V174" s="363"/>
      <c r="W174" s="363"/>
      <c r="X174" s="363"/>
      <c r="Y174" s="363"/>
      <c r="Z174" s="363"/>
      <c r="AA174" s="363"/>
      <c r="AB174" s="363"/>
      <c r="AC174" s="363"/>
      <c r="AD174" s="363"/>
      <c r="AE174" s="363"/>
      <c r="AF174" s="363"/>
      <c r="AG174" s="363"/>
      <c r="AH174" s="363"/>
      <c r="AI174" s="363"/>
      <c r="AJ174" s="363"/>
      <c r="AK174" s="363"/>
      <c r="AL174" s="363"/>
      <c r="AN174" s="59"/>
    </row>
    <row r="175" spans="1:40">
      <c r="C175" s="417"/>
      <c r="E175" s="249" t="s">
        <v>345</v>
      </c>
      <c r="F175" s="356">
        <v>0</v>
      </c>
      <c r="G175" s="357">
        <v>0</v>
      </c>
      <c r="H175" s="357">
        <v>0</v>
      </c>
      <c r="I175" s="357">
        <v>25249.691504769944</v>
      </c>
      <c r="J175" s="357">
        <v>60628.2805365971</v>
      </c>
      <c r="K175" s="357">
        <v>95388.204910894507</v>
      </c>
      <c r="L175" s="357">
        <v>116284.29196950521</v>
      </c>
      <c r="M175" s="357">
        <v>121777.06831582985</v>
      </c>
      <c r="N175" s="357">
        <v>123102.60783710078</v>
      </c>
      <c r="O175" s="357">
        <v>123123.36244944503</v>
      </c>
      <c r="P175" s="357">
        <v>123158.54196522426</v>
      </c>
      <c r="Q175" s="357">
        <v>123237.18637832174</v>
      </c>
      <c r="R175" s="357">
        <v>122183.82020487022</v>
      </c>
      <c r="S175" s="357">
        <v>121125.26864120539</v>
      </c>
      <c r="T175" s="357">
        <v>120077.25826296549</v>
      </c>
      <c r="U175" s="357">
        <v>119038.76829810478</v>
      </c>
      <c r="V175" s="357">
        <v>118008.86150307249</v>
      </c>
      <c r="W175" s="357">
        <v>116986.67824593044</v>
      </c>
      <c r="X175" s="357">
        <v>115971.4311350082</v>
      </c>
      <c r="Y175" s="357">
        <v>114962.40014474982</v>
      </c>
      <c r="Z175" s="357">
        <v>113958.92819522644</v>
      </c>
      <c r="AA175" s="357">
        <v>112960.41714612253</v>
      </c>
      <c r="AB175" s="357">
        <v>111966.32416990428</v>
      </c>
      <c r="AC175" s="357">
        <v>110976.15847239335</v>
      </c>
      <c r="AD175" s="357">
        <v>109989.47833213941</v>
      </c>
      <c r="AE175" s="357">
        <v>109005.88843284763</v>
      </c>
      <c r="AF175" s="357">
        <v>108025.03746570615</v>
      </c>
      <c r="AG175" s="357">
        <v>107046.6159808033</v>
      </c>
      <c r="AH175" s="357">
        <v>106273.26852830299</v>
      </c>
      <c r="AI175" s="357">
        <v>107041.42925556013</v>
      </c>
      <c r="AJ175" s="357">
        <v>107829.27603313366</v>
      </c>
      <c r="AK175" s="357">
        <v>108636.79991060581</v>
      </c>
      <c r="AL175" s="357">
        <v>109464.51203490497</v>
      </c>
    </row>
    <row r="176" spans="1:40">
      <c r="C176" s="417"/>
      <c r="E176" s="249" t="s">
        <v>417</v>
      </c>
      <c r="F176" s="364">
        <v>0</v>
      </c>
      <c r="G176" s="365">
        <v>0</v>
      </c>
      <c r="H176" s="365">
        <v>0</v>
      </c>
      <c r="I176" s="365">
        <v>30</v>
      </c>
      <c r="J176" s="365">
        <v>25</v>
      </c>
      <c r="K176" s="365">
        <v>15</v>
      </c>
      <c r="L176" s="365">
        <v>15</v>
      </c>
      <c r="M176" s="365">
        <v>15</v>
      </c>
      <c r="N176" s="365">
        <v>15</v>
      </c>
      <c r="O176" s="365">
        <v>15</v>
      </c>
      <c r="P176" s="365">
        <v>15</v>
      </c>
      <c r="Q176" s="365">
        <v>15</v>
      </c>
      <c r="R176" s="365">
        <v>15</v>
      </c>
      <c r="S176" s="365">
        <v>15</v>
      </c>
      <c r="T176" s="365">
        <v>15</v>
      </c>
      <c r="U176" s="365">
        <v>15</v>
      </c>
      <c r="V176" s="365">
        <v>15</v>
      </c>
      <c r="W176" s="365">
        <v>15</v>
      </c>
      <c r="X176" s="365">
        <v>15</v>
      </c>
      <c r="Y176" s="365">
        <v>15</v>
      </c>
      <c r="Z176" s="365">
        <v>15</v>
      </c>
      <c r="AA176" s="365">
        <v>15</v>
      </c>
      <c r="AB176" s="365">
        <v>15</v>
      </c>
      <c r="AC176" s="365">
        <v>15</v>
      </c>
      <c r="AD176" s="365">
        <v>15</v>
      </c>
      <c r="AE176" s="365">
        <v>15</v>
      </c>
      <c r="AF176" s="365">
        <v>15</v>
      </c>
      <c r="AG176" s="365">
        <v>15</v>
      </c>
      <c r="AH176" s="365">
        <v>15</v>
      </c>
      <c r="AI176" s="365">
        <v>15</v>
      </c>
      <c r="AJ176" s="365">
        <v>15</v>
      </c>
      <c r="AK176" s="365">
        <v>15</v>
      </c>
      <c r="AL176" s="365">
        <v>15</v>
      </c>
    </row>
    <row r="177" spans="1:40" s="60" customFormat="1">
      <c r="A177" s="59"/>
      <c r="B177" s="18"/>
      <c r="C177" s="418"/>
      <c r="E177" s="255" t="s">
        <v>418</v>
      </c>
      <c r="F177" s="362">
        <v>0</v>
      </c>
      <c r="G177" s="363">
        <v>0</v>
      </c>
      <c r="H177" s="363">
        <v>0</v>
      </c>
      <c r="I177" s="363">
        <v>-2075.3171099810916</v>
      </c>
      <c r="J177" s="363">
        <v>-4152.6219545614449</v>
      </c>
      <c r="K177" s="363">
        <v>-3920.0632155162125</v>
      </c>
      <c r="L177" s="363">
        <v>-4778.8065192947352</v>
      </c>
      <c r="M177" s="363">
        <v>-5004.5370540751992</v>
      </c>
      <c r="N177" s="363">
        <v>-5059.0112809767443</v>
      </c>
      <c r="O177" s="363">
        <v>-5059.8642102511658</v>
      </c>
      <c r="P177" s="363">
        <v>-5061.3099437763394</v>
      </c>
      <c r="Q177" s="363">
        <v>-5064.5419059584274</v>
      </c>
      <c r="R177" s="363">
        <v>-5021.2528851316529</v>
      </c>
      <c r="S177" s="363">
        <v>-4977.7507660769334</v>
      </c>
      <c r="T177" s="363">
        <v>-4934.6818464232392</v>
      </c>
      <c r="U177" s="363">
        <v>-4892.0041766344439</v>
      </c>
      <c r="V177" s="363">
        <v>-4849.6792398522939</v>
      </c>
      <c r="W177" s="363">
        <v>-4807.6717087368679</v>
      </c>
      <c r="X177" s="363">
        <v>-4765.9492247263643</v>
      </c>
      <c r="Y177" s="363">
        <v>-4724.4821977294441</v>
      </c>
      <c r="Z177" s="363">
        <v>-4683.2436244613609</v>
      </c>
      <c r="AA177" s="363">
        <v>-4642.2089238132548</v>
      </c>
      <c r="AB177" s="363">
        <v>-4601.3557878042857</v>
      </c>
      <c r="AC177" s="363">
        <v>-4560.6640468106862</v>
      </c>
      <c r="AD177" s="363">
        <v>-4520.11554789614</v>
      </c>
      <c r="AE177" s="363">
        <v>-4479.6940451855189</v>
      </c>
      <c r="AF177" s="363">
        <v>-4439.3851013303902</v>
      </c>
      <c r="AG177" s="363">
        <v>-4399.1759992110947</v>
      </c>
      <c r="AH177" s="363">
        <v>-4367.3945970535469</v>
      </c>
      <c r="AI177" s="363">
        <v>-4398.9628461189095</v>
      </c>
      <c r="AJ177" s="363">
        <v>-4431.3401109506976</v>
      </c>
      <c r="AK177" s="363">
        <v>-4464.5260237235261</v>
      </c>
      <c r="AL177" s="363">
        <v>-4498.5415904755473</v>
      </c>
      <c r="AN177" s="59"/>
    </row>
    <row r="178" spans="1:40" ht="4.5" customHeight="1">
      <c r="C178" s="417"/>
      <c r="E178" s="250"/>
      <c r="F178" s="356"/>
      <c r="G178" s="357"/>
      <c r="H178" s="357"/>
      <c r="I178" s="357"/>
      <c r="J178" s="357"/>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row>
    <row r="179" spans="1:40" s="60" customFormat="1">
      <c r="A179" s="59"/>
      <c r="B179" s="18"/>
      <c r="C179" s="418"/>
      <c r="E179" s="255" t="s">
        <v>347</v>
      </c>
      <c r="F179" s="362"/>
      <c r="G179" s="363"/>
      <c r="H179" s="363"/>
      <c r="I179" s="363"/>
      <c r="J179" s="363"/>
      <c r="K179" s="363"/>
      <c r="L179" s="363"/>
      <c r="M179" s="363"/>
      <c r="N179" s="363"/>
      <c r="O179" s="363"/>
      <c r="P179" s="363"/>
      <c r="Q179" s="363"/>
      <c r="R179" s="363"/>
      <c r="S179" s="363"/>
      <c r="T179" s="363"/>
      <c r="U179" s="363"/>
      <c r="V179" s="363"/>
      <c r="W179" s="363"/>
      <c r="X179" s="363"/>
      <c r="Y179" s="363"/>
      <c r="Z179" s="363"/>
      <c r="AA179" s="363"/>
      <c r="AB179" s="363"/>
      <c r="AC179" s="363"/>
      <c r="AD179" s="363"/>
      <c r="AE179" s="363"/>
      <c r="AF179" s="363"/>
      <c r="AG179" s="363"/>
      <c r="AH179" s="363"/>
      <c r="AI179" s="363"/>
      <c r="AJ179" s="363"/>
      <c r="AK179" s="363"/>
      <c r="AL179" s="363"/>
      <c r="AN179" s="59"/>
    </row>
    <row r="180" spans="1:40">
      <c r="C180" s="417"/>
      <c r="E180" s="249" t="s">
        <v>103</v>
      </c>
      <c r="F180" s="356">
        <v>0</v>
      </c>
      <c r="G180" s="357">
        <v>0</v>
      </c>
      <c r="H180" s="357">
        <v>0</v>
      </c>
      <c r="I180" s="357">
        <v>40900.867040753423</v>
      </c>
      <c r="J180" s="357">
        <v>113609.74117643836</v>
      </c>
      <c r="K180" s="357">
        <v>192010.20072876711</v>
      </c>
      <c r="L180" s="357">
        <v>228913.29923561646</v>
      </c>
      <c r="M180" s="357">
        <v>245229.87457808218</v>
      </c>
      <c r="N180" s="357">
        <v>248140.83348219178</v>
      </c>
      <c r="O180" s="357">
        <v>249188.77868767123</v>
      </c>
      <c r="P180" s="357">
        <v>251939.63485205479</v>
      </c>
      <c r="Q180" s="357">
        <v>254828.03382465753</v>
      </c>
      <c r="R180" s="357">
        <v>254946.96789999999</v>
      </c>
      <c r="S180" s="357">
        <v>254946.96789999999</v>
      </c>
      <c r="T180" s="357">
        <v>254946.96789999999</v>
      </c>
      <c r="U180" s="357">
        <v>254946.96789999999</v>
      </c>
      <c r="V180" s="357">
        <v>254946.96789999999</v>
      </c>
      <c r="W180" s="357">
        <v>254946.96789999999</v>
      </c>
      <c r="X180" s="357">
        <v>254946.96789999999</v>
      </c>
      <c r="Y180" s="357">
        <v>254946.96789999999</v>
      </c>
      <c r="Z180" s="357">
        <v>254946.96789999999</v>
      </c>
      <c r="AA180" s="357">
        <v>254946.96789999999</v>
      </c>
      <c r="AB180" s="357">
        <v>254946.96789999999</v>
      </c>
      <c r="AC180" s="357">
        <v>254946.96789999999</v>
      </c>
      <c r="AD180" s="357">
        <v>254946.96789999999</v>
      </c>
      <c r="AE180" s="357">
        <v>254946.96789999999</v>
      </c>
      <c r="AF180" s="357">
        <v>254946.96789999999</v>
      </c>
      <c r="AG180" s="357">
        <v>254946.96789999999</v>
      </c>
      <c r="AH180" s="357">
        <v>254946.96789999999</v>
      </c>
      <c r="AI180" s="357">
        <v>254946.96789999999</v>
      </c>
      <c r="AJ180" s="357">
        <v>254946.96789999999</v>
      </c>
      <c r="AK180" s="357">
        <v>254946.96789999999</v>
      </c>
      <c r="AL180" s="357">
        <v>254946.96789999999</v>
      </c>
    </row>
    <row r="181" spans="1:40">
      <c r="C181" s="417"/>
      <c r="E181" s="249" t="s">
        <v>102</v>
      </c>
      <c r="F181" s="364">
        <v>30</v>
      </c>
      <c r="G181" s="357">
        <v>30</v>
      </c>
      <c r="H181" s="357">
        <v>30</v>
      </c>
      <c r="I181" s="357">
        <v>30</v>
      </c>
      <c r="J181" s="357">
        <v>30</v>
      </c>
      <c r="K181" s="357">
        <v>30</v>
      </c>
      <c r="L181" s="357">
        <v>30</v>
      </c>
      <c r="M181" s="357">
        <v>30</v>
      </c>
      <c r="N181" s="357">
        <v>30</v>
      </c>
      <c r="O181" s="357">
        <v>30</v>
      </c>
      <c r="P181" s="357">
        <v>30</v>
      </c>
      <c r="Q181" s="357">
        <v>30</v>
      </c>
      <c r="R181" s="357">
        <v>30</v>
      </c>
      <c r="S181" s="357">
        <v>30</v>
      </c>
      <c r="T181" s="357">
        <v>30</v>
      </c>
      <c r="U181" s="357">
        <v>30</v>
      </c>
      <c r="V181" s="357">
        <v>30</v>
      </c>
      <c r="W181" s="357">
        <v>30</v>
      </c>
      <c r="X181" s="357">
        <v>30</v>
      </c>
      <c r="Y181" s="357">
        <v>30</v>
      </c>
      <c r="Z181" s="357">
        <v>30</v>
      </c>
      <c r="AA181" s="357">
        <v>30</v>
      </c>
      <c r="AB181" s="357">
        <v>30</v>
      </c>
      <c r="AC181" s="357">
        <v>30</v>
      </c>
      <c r="AD181" s="357">
        <v>30</v>
      </c>
      <c r="AE181" s="357">
        <v>30</v>
      </c>
      <c r="AF181" s="357">
        <v>30</v>
      </c>
      <c r="AG181" s="357">
        <v>30</v>
      </c>
      <c r="AH181" s="357">
        <v>30</v>
      </c>
      <c r="AI181" s="357">
        <v>30</v>
      </c>
      <c r="AJ181" s="357">
        <v>30</v>
      </c>
      <c r="AK181" s="357">
        <v>30</v>
      </c>
      <c r="AL181" s="357">
        <v>30</v>
      </c>
    </row>
    <row r="182" spans="1:40" s="60" customFormat="1">
      <c r="A182" s="59"/>
      <c r="B182" s="18"/>
      <c r="C182" s="418"/>
      <c r="E182" s="255" t="s">
        <v>349</v>
      </c>
      <c r="F182" s="362">
        <v>0</v>
      </c>
      <c r="G182" s="363">
        <v>0</v>
      </c>
      <c r="H182" s="363">
        <v>0</v>
      </c>
      <c r="I182" s="363">
        <v>-3361.715099240007</v>
      </c>
      <c r="J182" s="363">
        <v>-9337.7869460086331</v>
      </c>
      <c r="K182" s="363">
        <v>-15781.660333871268</v>
      </c>
      <c r="L182" s="363">
        <v>-18814.791717995875</v>
      </c>
      <c r="M182" s="363">
        <v>-20155.880102308121</v>
      </c>
      <c r="N182" s="363">
        <v>-20395.136998536313</v>
      </c>
      <c r="O182" s="363">
        <v>-20481.26948117846</v>
      </c>
      <c r="P182" s="363">
        <v>-20707.367248114093</v>
      </c>
      <c r="Q182" s="363">
        <v>-20944.769903396511</v>
      </c>
      <c r="R182" s="363">
        <v>-20954.545306849315</v>
      </c>
      <c r="S182" s="363">
        <v>-20954.545306849315</v>
      </c>
      <c r="T182" s="363">
        <v>-20954.545306849315</v>
      </c>
      <c r="U182" s="363">
        <v>-20954.545306849315</v>
      </c>
      <c r="V182" s="363">
        <v>-20954.545306849315</v>
      </c>
      <c r="W182" s="363">
        <v>-20954.545306849315</v>
      </c>
      <c r="X182" s="363">
        <v>-20954.545306849315</v>
      </c>
      <c r="Y182" s="363">
        <v>-20954.545306849315</v>
      </c>
      <c r="Z182" s="363">
        <v>-20954.545306849315</v>
      </c>
      <c r="AA182" s="363">
        <v>-20954.545306849315</v>
      </c>
      <c r="AB182" s="363">
        <v>-20954.545306849315</v>
      </c>
      <c r="AC182" s="363">
        <v>-20954.545306849315</v>
      </c>
      <c r="AD182" s="363">
        <v>-20954.545306849315</v>
      </c>
      <c r="AE182" s="363">
        <v>-20954.545306849315</v>
      </c>
      <c r="AF182" s="363">
        <v>-20954.545306849315</v>
      </c>
      <c r="AG182" s="363">
        <v>-20954.545306849315</v>
      </c>
      <c r="AH182" s="363">
        <v>-20954.545306849315</v>
      </c>
      <c r="AI182" s="363">
        <v>-20954.545306849315</v>
      </c>
      <c r="AJ182" s="363">
        <v>-20954.545306849315</v>
      </c>
      <c r="AK182" s="363">
        <v>-20954.545306849315</v>
      </c>
      <c r="AL182" s="363">
        <v>-20954.545306849315</v>
      </c>
      <c r="AN182" s="59"/>
    </row>
    <row r="183" spans="1:40" ht="4.5" customHeight="1">
      <c r="C183" s="417"/>
      <c r="E183" s="250"/>
      <c r="F183" s="356"/>
      <c r="G183" s="357"/>
      <c r="H183" s="357"/>
      <c r="I183" s="357"/>
      <c r="J183" s="357"/>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row>
    <row r="184" spans="1:40" s="60" customFormat="1">
      <c r="A184" s="59"/>
      <c r="B184" s="18"/>
      <c r="C184" s="418"/>
      <c r="E184" s="255" t="s">
        <v>350</v>
      </c>
      <c r="F184" s="362"/>
      <c r="G184" s="363"/>
      <c r="H184" s="363"/>
      <c r="I184" s="363"/>
      <c r="J184" s="363"/>
      <c r="K184" s="363"/>
      <c r="L184" s="363"/>
      <c r="M184" s="363"/>
      <c r="N184" s="363"/>
      <c r="O184" s="363"/>
      <c r="P184" s="363"/>
      <c r="Q184" s="363"/>
      <c r="R184" s="363"/>
      <c r="S184" s="363"/>
      <c r="T184" s="363"/>
      <c r="U184" s="363"/>
      <c r="V184" s="363"/>
      <c r="W184" s="363"/>
      <c r="X184" s="363"/>
      <c r="Y184" s="363"/>
      <c r="Z184" s="363"/>
      <c r="AA184" s="363"/>
      <c r="AB184" s="363"/>
      <c r="AC184" s="363"/>
      <c r="AD184" s="363"/>
      <c r="AE184" s="363"/>
      <c r="AF184" s="363"/>
      <c r="AG184" s="363"/>
      <c r="AH184" s="363"/>
      <c r="AI184" s="363"/>
      <c r="AJ184" s="363"/>
      <c r="AK184" s="363"/>
      <c r="AL184" s="363"/>
      <c r="AN184" s="59"/>
    </row>
    <row r="185" spans="1:40">
      <c r="C185" s="417"/>
      <c r="E185" s="249" t="s">
        <v>350</v>
      </c>
      <c r="F185" s="356">
        <v>0</v>
      </c>
      <c r="G185" s="357">
        <v>0</v>
      </c>
      <c r="H185" s="357">
        <v>0</v>
      </c>
      <c r="I185" s="357">
        <v>28053.416868872508</v>
      </c>
      <c r="J185" s="357">
        <v>63488.307661622741</v>
      </c>
      <c r="K185" s="357">
        <v>100591.46175065212</v>
      </c>
      <c r="L185" s="357">
        <v>121255.44530274239</v>
      </c>
      <c r="M185" s="357">
        <v>126548.41849974054</v>
      </c>
      <c r="N185" s="357">
        <v>127715.21976494294</v>
      </c>
      <c r="O185" s="357">
        <v>127942.17366966515</v>
      </c>
      <c r="P185" s="357">
        <v>127860.63788113021</v>
      </c>
      <c r="Q185" s="357">
        <v>127840.8473142845</v>
      </c>
      <c r="R185" s="357">
        <v>126675.07240166777</v>
      </c>
      <c r="S185" s="357">
        <v>125506.35635772831</v>
      </c>
      <c r="T185" s="357">
        <v>124350.48872729822</v>
      </c>
      <c r="U185" s="357">
        <v>123303.75433793705</v>
      </c>
      <c r="V185" s="357">
        <v>122381.76250741028</v>
      </c>
      <c r="W185" s="357">
        <v>121453.52143665517</v>
      </c>
      <c r="X185" s="357">
        <v>120534.79416687819</v>
      </c>
      <c r="Y185" s="357">
        <v>119624.93318994949</v>
      </c>
      <c r="Z185" s="357">
        <v>118723.35602264476</v>
      </c>
      <c r="AA185" s="357">
        <v>117846.35079580492</v>
      </c>
      <c r="AB185" s="357">
        <v>116959.83455085308</v>
      </c>
      <c r="AC185" s="357">
        <v>116080.20723274449</v>
      </c>
      <c r="AD185" s="357">
        <v>115207.11065639689</v>
      </c>
      <c r="AE185" s="357">
        <v>114340.23544171298</v>
      </c>
      <c r="AF185" s="357">
        <v>113496.46441119205</v>
      </c>
      <c r="AG185" s="357">
        <v>112641.28761161276</v>
      </c>
      <c r="AH185" s="357">
        <v>111994.58888173258</v>
      </c>
      <c r="AI185" s="357">
        <v>112892.89862396005</v>
      </c>
      <c r="AJ185" s="357">
        <v>113814.49373423806</v>
      </c>
      <c r="AK185" s="357">
        <v>114776.95577854924</v>
      </c>
      <c r="AL185" s="357">
        <v>115745.92343468756</v>
      </c>
    </row>
    <row r="186" spans="1:40">
      <c r="C186" s="417"/>
      <c r="E186" s="249" t="s">
        <v>102</v>
      </c>
      <c r="F186" s="364">
        <v>45</v>
      </c>
      <c r="G186" s="357">
        <v>45</v>
      </c>
      <c r="H186" s="357">
        <v>45</v>
      </c>
      <c r="I186" s="357">
        <v>45</v>
      </c>
      <c r="J186" s="357">
        <v>45</v>
      </c>
      <c r="K186" s="357">
        <v>45</v>
      </c>
      <c r="L186" s="357">
        <v>45</v>
      </c>
      <c r="M186" s="357">
        <v>45</v>
      </c>
      <c r="N186" s="357">
        <v>45</v>
      </c>
      <c r="O186" s="357">
        <v>45</v>
      </c>
      <c r="P186" s="357">
        <v>45</v>
      </c>
      <c r="Q186" s="357">
        <v>45</v>
      </c>
      <c r="R186" s="357">
        <v>45</v>
      </c>
      <c r="S186" s="357">
        <v>45</v>
      </c>
      <c r="T186" s="357">
        <v>45</v>
      </c>
      <c r="U186" s="357">
        <v>45</v>
      </c>
      <c r="V186" s="357">
        <v>45</v>
      </c>
      <c r="W186" s="357">
        <v>45</v>
      </c>
      <c r="X186" s="357">
        <v>45</v>
      </c>
      <c r="Y186" s="357">
        <v>45</v>
      </c>
      <c r="Z186" s="357">
        <v>45</v>
      </c>
      <c r="AA186" s="357">
        <v>45</v>
      </c>
      <c r="AB186" s="357">
        <v>45</v>
      </c>
      <c r="AC186" s="357">
        <v>45</v>
      </c>
      <c r="AD186" s="357">
        <v>45</v>
      </c>
      <c r="AE186" s="357">
        <v>45</v>
      </c>
      <c r="AF186" s="357">
        <v>45</v>
      </c>
      <c r="AG186" s="357">
        <v>45</v>
      </c>
      <c r="AH186" s="357">
        <v>45</v>
      </c>
      <c r="AI186" s="357">
        <v>45</v>
      </c>
      <c r="AJ186" s="357">
        <v>45</v>
      </c>
      <c r="AK186" s="357">
        <v>45</v>
      </c>
      <c r="AL186" s="357">
        <v>45</v>
      </c>
    </row>
    <row r="187" spans="1:40" s="60" customFormat="1">
      <c r="A187" s="59"/>
      <c r="B187" s="18"/>
      <c r="C187" s="418"/>
      <c r="E187" s="255" t="s">
        <v>348</v>
      </c>
      <c r="F187" s="362">
        <v>0</v>
      </c>
      <c r="G187" s="363">
        <v>0</v>
      </c>
      <c r="H187" s="363">
        <v>0</v>
      </c>
      <c r="I187" s="363">
        <v>3458.6404358883915</v>
      </c>
      <c r="J187" s="363">
        <v>7827.3256021178722</v>
      </c>
      <c r="K187" s="363">
        <v>12401.687065148892</v>
      </c>
      <c r="L187" s="363">
        <v>14949.30147568057</v>
      </c>
      <c r="M187" s="363">
        <v>15601.859815036505</v>
      </c>
      <c r="N187" s="363">
        <v>15745.712025814883</v>
      </c>
      <c r="O187" s="363">
        <v>15773.692644205294</v>
      </c>
      <c r="P187" s="363">
        <v>15763.640286714684</v>
      </c>
      <c r="Q187" s="363">
        <v>15761.200353815897</v>
      </c>
      <c r="R187" s="363">
        <v>15617.474679657671</v>
      </c>
      <c r="S187" s="363">
        <v>15473.386400267873</v>
      </c>
      <c r="T187" s="363">
        <v>15330.882171858684</v>
      </c>
      <c r="U187" s="363">
        <v>15201.832726594979</v>
      </c>
      <c r="V187" s="363">
        <v>15088.162500913597</v>
      </c>
      <c r="W187" s="363">
        <v>14973.721820957488</v>
      </c>
      <c r="X187" s="363">
        <v>14860.454075368543</v>
      </c>
      <c r="Y187" s="363">
        <v>14748.279434377333</v>
      </c>
      <c r="Z187" s="363">
        <v>14637.1260849836</v>
      </c>
      <c r="AA187" s="363">
        <v>14529.002152907457</v>
      </c>
      <c r="AB187" s="363">
        <v>14419.705629557229</v>
      </c>
      <c r="AC187" s="363">
        <v>14311.2584259548</v>
      </c>
      <c r="AD187" s="363">
        <v>14203.61638229551</v>
      </c>
      <c r="AE187" s="363">
        <v>14096.741355827629</v>
      </c>
      <c r="AF187" s="363">
        <v>13992.714790420936</v>
      </c>
      <c r="AG187" s="363">
        <v>13887.282034308424</v>
      </c>
      <c r="AH187" s="363">
        <v>13807.552053912235</v>
      </c>
      <c r="AI187" s="363">
        <v>13918.302570077265</v>
      </c>
      <c r="AJ187" s="363">
        <v>14031.923885043048</v>
      </c>
      <c r="AK187" s="363">
        <v>14150.583589136208</v>
      </c>
      <c r="AL187" s="363">
        <v>14270.045354961479</v>
      </c>
      <c r="AN187" s="59"/>
    </row>
    <row r="188" spans="1:40" s="60" customFormat="1" ht="4.5" customHeight="1">
      <c r="A188" s="59"/>
      <c r="B188" s="18"/>
      <c r="C188" s="418"/>
      <c r="E188" s="255"/>
      <c r="F188" s="362"/>
      <c r="G188" s="363"/>
      <c r="H188" s="363"/>
      <c r="I188" s="363"/>
      <c r="J188" s="363"/>
      <c r="K188" s="363"/>
      <c r="L188" s="363"/>
      <c r="M188" s="363"/>
      <c r="N188" s="363"/>
      <c r="O188" s="363"/>
      <c r="P188" s="363"/>
      <c r="Q188" s="363"/>
      <c r="R188" s="363"/>
      <c r="S188" s="363"/>
      <c r="T188" s="363"/>
      <c r="U188" s="363"/>
      <c r="V188" s="363"/>
      <c r="W188" s="363"/>
      <c r="X188" s="363"/>
      <c r="Y188" s="363"/>
      <c r="Z188" s="363"/>
      <c r="AA188" s="363"/>
      <c r="AB188" s="363"/>
      <c r="AC188" s="363"/>
      <c r="AD188" s="363"/>
      <c r="AE188" s="363"/>
      <c r="AF188" s="363"/>
      <c r="AG188" s="363"/>
      <c r="AH188" s="363"/>
      <c r="AI188" s="363"/>
      <c r="AJ188" s="363"/>
      <c r="AK188" s="363"/>
      <c r="AL188" s="363"/>
      <c r="AN188" s="59"/>
    </row>
    <row r="189" spans="1:40" s="60" customFormat="1" ht="14.25" thickBot="1">
      <c r="A189" s="59"/>
      <c r="B189" s="18"/>
      <c r="C189" s="418"/>
      <c r="E189" s="256" t="s">
        <v>95</v>
      </c>
      <c r="F189" s="366">
        <v>0</v>
      </c>
      <c r="G189" s="366">
        <v>0</v>
      </c>
      <c r="H189" s="367">
        <v>0</v>
      </c>
      <c r="I189" s="367">
        <v>-1978.3917733327075</v>
      </c>
      <c r="J189" s="367">
        <v>-5663.0832984522049</v>
      </c>
      <c r="K189" s="367">
        <v>-7300.0364842385879</v>
      </c>
      <c r="L189" s="367">
        <v>-8644.2967616100414</v>
      </c>
      <c r="M189" s="367">
        <v>-9558.5573413468173</v>
      </c>
      <c r="N189" s="367">
        <v>-9708.4362536981753</v>
      </c>
      <c r="O189" s="367">
        <v>-9767.4410472243326</v>
      </c>
      <c r="P189" s="367">
        <v>-10005.03690517575</v>
      </c>
      <c r="Q189" s="367">
        <v>-10248.111455539041</v>
      </c>
      <c r="R189" s="367">
        <v>-10358.323512323297</v>
      </c>
      <c r="S189" s="367">
        <v>-10458.909672658376</v>
      </c>
      <c r="T189" s="367">
        <v>-10558.344981413869</v>
      </c>
      <c r="U189" s="367">
        <v>-10644.71675688878</v>
      </c>
      <c r="V189" s="367">
        <v>-10716.062045788014</v>
      </c>
      <c r="W189" s="367">
        <v>-10788.495194628695</v>
      </c>
      <c r="X189" s="367">
        <v>-10860.040456207134</v>
      </c>
      <c r="Y189" s="367">
        <v>-10930.748070201427</v>
      </c>
      <c r="Z189" s="367">
        <v>-11000.662846327075</v>
      </c>
      <c r="AA189" s="367">
        <v>-11067.752077755113</v>
      </c>
      <c r="AB189" s="367">
        <v>-11136.195465096371</v>
      </c>
      <c r="AC189" s="367">
        <v>-11203.9509277052</v>
      </c>
      <c r="AD189" s="367">
        <v>-11271.044472449947</v>
      </c>
      <c r="AE189" s="367">
        <v>-11337.497996207205</v>
      </c>
      <c r="AF189" s="367">
        <v>-11401.215617758769</v>
      </c>
      <c r="AG189" s="367">
        <v>-11466.439271751988</v>
      </c>
      <c r="AH189" s="367">
        <v>-11514.387849990626</v>
      </c>
      <c r="AI189" s="367">
        <v>-11435.20558289096</v>
      </c>
      <c r="AJ189" s="367">
        <v>-11353.961532756963</v>
      </c>
      <c r="AK189" s="367">
        <v>-11268.487741436635</v>
      </c>
      <c r="AL189" s="367">
        <v>-11183.041542363382</v>
      </c>
      <c r="AN189" s="59"/>
    </row>
    <row r="190" spans="1:40" ht="3.75" customHeight="1">
      <c r="C190" s="418"/>
      <c r="F190" s="81"/>
    </row>
    <row r="191" spans="1:40" ht="14.25" thickBot="1">
      <c r="C191" s="418"/>
      <c r="E191" s="399" t="s">
        <v>239</v>
      </c>
      <c r="F191" s="400">
        <v>0</v>
      </c>
      <c r="G191" s="401">
        <v>-74677.747910121092</v>
      </c>
      <c r="H191" s="401">
        <v>-116524.60482507567</v>
      </c>
      <c r="I191" s="401">
        <v>-183140.97697645178</v>
      </c>
      <c r="J191" s="401">
        <v>-43525.989621510082</v>
      </c>
      <c r="K191" s="401">
        <v>32495.814878008554</v>
      </c>
      <c r="L191" s="401">
        <v>75027.76165958558</v>
      </c>
      <c r="M191" s="401">
        <v>99842.734974544961</v>
      </c>
      <c r="N191" s="401">
        <v>110182.458692436</v>
      </c>
      <c r="O191" s="401">
        <v>112105.96971259893</v>
      </c>
      <c r="P191" s="401">
        <v>115882.69721773652</v>
      </c>
      <c r="Q191" s="401">
        <v>110618.21107540913</v>
      </c>
      <c r="R191" s="401">
        <v>91462.662055715758</v>
      </c>
      <c r="S191" s="401">
        <v>92736.698057568807</v>
      </c>
      <c r="T191" s="401">
        <v>93703.921793522401</v>
      </c>
      <c r="U191" s="401">
        <v>94524.220388284244</v>
      </c>
      <c r="V191" s="401">
        <v>95262.280709127968</v>
      </c>
      <c r="W191" s="401">
        <v>95988.44492060873</v>
      </c>
      <c r="X191" s="401">
        <v>90866.228197382938</v>
      </c>
      <c r="Y191" s="401">
        <v>89974.305337727274</v>
      </c>
      <c r="Z191" s="401">
        <v>89827.496096859963</v>
      </c>
      <c r="AA191" s="401">
        <v>90205.633503007819</v>
      </c>
      <c r="AB191" s="401">
        <v>90802.677812437061</v>
      </c>
      <c r="AC191" s="401">
        <v>91397.114176892806</v>
      </c>
      <c r="AD191" s="401">
        <v>91987.116283791504</v>
      </c>
      <c r="AE191" s="401">
        <v>92572.897074690656</v>
      </c>
      <c r="AF191" s="401">
        <v>93145.178422497978</v>
      </c>
      <c r="AG191" s="401">
        <v>93720.916729772303</v>
      </c>
      <c r="AH191" s="401">
        <v>94174.713448196009</v>
      </c>
      <c r="AI191" s="401">
        <v>93695.485217530746</v>
      </c>
      <c r="AJ191" s="401">
        <v>93075.47030112744</v>
      </c>
      <c r="AK191" s="401">
        <v>92430.03816240374</v>
      </c>
      <c r="AL191" s="401">
        <v>95588.718761100798</v>
      </c>
      <c r="AM191" s="82">
        <v>0</v>
      </c>
    </row>
    <row r="192" spans="1:40" ht="3.75" customHeight="1" collapsed="1">
      <c r="A192" s="84"/>
      <c r="D192" s="85"/>
      <c r="F192" s="81"/>
    </row>
    <row r="193" spans="1:40" s="85" customFormat="1" outlineLevel="1">
      <c r="A193" s="84"/>
      <c r="B193" s="18"/>
      <c r="C193" s="418"/>
      <c r="E193" s="257" t="s">
        <v>444</v>
      </c>
      <c r="F193" s="368"/>
      <c r="G193" s="369"/>
      <c r="H193" s="370"/>
      <c r="I193" s="369">
        <v>-374343.32971164852</v>
      </c>
      <c r="J193" s="369">
        <v>-417869.31933315861</v>
      </c>
      <c r="K193" s="369">
        <v>-385373.50445515005</v>
      </c>
      <c r="L193" s="369">
        <v>-310345.74279556447</v>
      </c>
      <c r="M193" s="369">
        <v>-210503.00782101951</v>
      </c>
      <c r="N193" s="369">
        <v>-100320.5491285835</v>
      </c>
      <c r="O193" s="369">
        <v>11785.420584015432</v>
      </c>
      <c r="P193" s="369">
        <v>127668.11780175196</v>
      </c>
      <c r="Q193" s="369">
        <v>238286.32887716108</v>
      </c>
      <c r="R193" s="369">
        <v>329748.99093287683</v>
      </c>
      <c r="S193" s="369">
        <v>422485.68899044563</v>
      </c>
      <c r="T193" s="369">
        <v>516189.610783968</v>
      </c>
      <c r="U193" s="369">
        <v>610713.83117225231</v>
      </c>
      <c r="V193" s="369">
        <v>705976.11188138032</v>
      </c>
      <c r="W193" s="369">
        <v>801964.55680198909</v>
      </c>
      <c r="X193" s="369">
        <v>892830.78499937197</v>
      </c>
      <c r="Y193" s="369">
        <v>982805.09033709927</v>
      </c>
      <c r="Z193" s="369">
        <v>1072632.5864339592</v>
      </c>
      <c r="AA193" s="369">
        <v>1162838.2199369669</v>
      </c>
      <c r="AB193" s="369">
        <v>1253640.897749404</v>
      </c>
      <c r="AC193" s="369">
        <v>1345038.0119262969</v>
      </c>
      <c r="AD193" s="369">
        <v>1437025.1282100885</v>
      </c>
      <c r="AE193" s="369">
        <v>1529598.025284779</v>
      </c>
      <c r="AF193" s="369">
        <v>1622743.2037072771</v>
      </c>
      <c r="AG193" s="369">
        <v>1716464.1204370493</v>
      </c>
      <c r="AH193" s="369">
        <v>1810638.8338852453</v>
      </c>
      <c r="AI193" s="369">
        <v>1904334.319102776</v>
      </c>
      <c r="AJ193" s="369">
        <v>1997409.7894039035</v>
      </c>
      <c r="AK193" s="369">
        <v>2089839.8275663073</v>
      </c>
      <c r="AL193" s="369">
        <v>2185428.5463274079</v>
      </c>
      <c r="AN193" s="84"/>
    </row>
    <row r="194" spans="1:40" s="85" customFormat="1" outlineLevel="1">
      <c r="A194" s="84"/>
      <c r="B194" s="18"/>
      <c r="C194" s="418"/>
      <c r="E194" s="257"/>
      <c r="F194" s="368"/>
      <c r="G194" s="369"/>
      <c r="H194" s="370"/>
      <c r="I194" s="371">
        <v>0</v>
      </c>
      <c r="J194" s="371">
        <v>8.6004553363825647</v>
      </c>
      <c r="K194" s="371">
        <v>12.859173432082493</v>
      </c>
      <c r="L194" s="371">
        <v>5.1364121217378012</v>
      </c>
      <c r="M194" s="371">
        <v>3.1083457687200529</v>
      </c>
      <c r="N194" s="371">
        <v>1.910494740443385</v>
      </c>
      <c r="O194" s="371">
        <v>0.89487249774272337</v>
      </c>
      <c r="P194" s="371">
        <v>0</v>
      </c>
      <c r="Q194" s="371">
        <v>0</v>
      </c>
      <c r="R194" s="371">
        <v>0</v>
      </c>
      <c r="S194" s="371">
        <v>0</v>
      </c>
      <c r="T194" s="371">
        <v>0</v>
      </c>
      <c r="U194" s="371">
        <v>0</v>
      </c>
      <c r="V194" s="371">
        <v>0</v>
      </c>
      <c r="W194" s="371">
        <v>0</v>
      </c>
      <c r="X194" s="371">
        <v>0</v>
      </c>
      <c r="Y194" s="371">
        <v>0</v>
      </c>
      <c r="Z194" s="371">
        <v>0</v>
      </c>
      <c r="AA194" s="371">
        <v>0</v>
      </c>
      <c r="AB194" s="371">
        <v>0</v>
      </c>
      <c r="AC194" s="371">
        <v>0</v>
      </c>
      <c r="AD194" s="371">
        <v>0</v>
      </c>
      <c r="AE194" s="371">
        <v>0</v>
      </c>
      <c r="AF194" s="371">
        <v>0</v>
      </c>
      <c r="AG194" s="371">
        <v>0</v>
      </c>
      <c r="AH194" s="371">
        <v>0</v>
      </c>
      <c r="AI194" s="371">
        <v>0</v>
      </c>
      <c r="AJ194" s="371">
        <v>0</v>
      </c>
      <c r="AK194" s="371">
        <v>0</v>
      </c>
      <c r="AL194" s="371">
        <v>0</v>
      </c>
      <c r="AN194" s="84"/>
    </row>
    <row r="195" spans="1:40" s="85" customFormat="1" outlineLevel="1">
      <c r="A195" s="84"/>
      <c r="B195" s="18"/>
      <c r="C195" s="418"/>
      <c r="E195" s="257"/>
      <c r="F195" s="86"/>
      <c r="G195" s="372"/>
      <c r="I195" s="372">
        <v>1</v>
      </c>
      <c r="J195" s="372">
        <v>2</v>
      </c>
      <c r="K195" s="372">
        <v>3</v>
      </c>
      <c r="L195" s="372">
        <v>4</v>
      </c>
      <c r="M195" s="372">
        <v>5</v>
      </c>
      <c r="N195" s="372">
        <v>6</v>
      </c>
      <c r="O195" s="372">
        <v>6.8948724977427229</v>
      </c>
      <c r="P195" s="372">
        <v>6.8948724977427229</v>
      </c>
      <c r="Q195" s="372">
        <v>6.8948724977427229</v>
      </c>
      <c r="R195" s="372">
        <v>6.8948724977427229</v>
      </c>
      <c r="S195" s="372">
        <v>6.8948724977427229</v>
      </c>
      <c r="T195" s="372">
        <v>6.8948724977427229</v>
      </c>
      <c r="U195" s="372">
        <v>6.8948724977427229</v>
      </c>
      <c r="V195" s="372">
        <v>6.8948724977427229</v>
      </c>
      <c r="W195" s="372">
        <v>6.8948724977427229</v>
      </c>
      <c r="X195" s="372">
        <v>6.8948724977427229</v>
      </c>
      <c r="Y195" s="372">
        <v>6.8948724977427229</v>
      </c>
      <c r="Z195" s="372">
        <v>6.8948724977427229</v>
      </c>
      <c r="AA195" s="372">
        <v>6.8948724977427229</v>
      </c>
      <c r="AB195" s="372">
        <v>6.8948724977427229</v>
      </c>
      <c r="AC195" s="372">
        <v>6.8948724977427229</v>
      </c>
      <c r="AD195" s="372">
        <v>6.8948724977427229</v>
      </c>
      <c r="AE195" s="372">
        <v>6.8948724977427229</v>
      </c>
      <c r="AF195" s="372">
        <v>6.8948724977427229</v>
      </c>
      <c r="AG195" s="372">
        <v>6.8948724977427229</v>
      </c>
      <c r="AH195" s="372">
        <v>6.8948724977427229</v>
      </c>
      <c r="AI195" s="372">
        <v>6.8948724977427229</v>
      </c>
      <c r="AJ195" s="372">
        <v>6.8948724977427229</v>
      </c>
      <c r="AK195" s="372">
        <v>6.8948724977427229</v>
      </c>
      <c r="AL195" s="372">
        <v>6.8948724977427229</v>
      </c>
      <c r="AN195" s="84"/>
    </row>
    <row r="196" spans="1:40" ht="3.75" customHeight="1" outlineLevel="1" collapsed="1">
      <c r="A196" s="84"/>
      <c r="B196" s="85"/>
      <c r="C196" s="85"/>
      <c r="D196" s="85"/>
      <c r="F196" s="81"/>
    </row>
    <row r="197" spans="1:40">
      <c r="A197" s="84"/>
      <c r="C197" s="80"/>
      <c r="D197" s="85"/>
      <c r="E197" s="267" t="s">
        <v>240</v>
      </c>
      <c r="F197" s="268"/>
      <c r="G197" s="269"/>
      <c r="H197" s="269"/>
      <c r="I197" s="269">
        <v>-6.3288444861136176E-2</v>
      </c>
      <c r="J197" s="269">
        <v>1.6707103932306601E-2</v>
      </c>
      <c r="K197" s="269">
        <v>8.237822525701978E-2</v>
      </c>
      <c r="L197" s="269">
        <v>0.11267210533542764</v>
      </c>
      <c r="M197" s="269">
        <v>0.14379215927138425</v>
      </c>
      <c r="N197" s="269">
        <v>0.16955977943003675</v>
      </c>
      <c r="O197" s="269">
        <v>0.18180140041604212</v>
      </c>
      <c r="P197" s="269">
        <v>0.20028328946565968</v>
      </c>
      <c r="Q197" s="269">
        <v>0.19952416837139547</v>
      </c>
      <c r="R197" s="269">
        <v>0.1635674285333647</v>
      </c>
      <c r="S197" s="269">
        <v>0.17787788186242157</v>
      </c>
      <c r="T197" s="269">
        <v>0.19370794753070295</v>
      </c>
      <c r="U197" s="269">
        <v>0.21192916450834737</v>
      </c>
      <c r="V197" s="269">
        <v>0.23352604525426801</v>
      </c>
      <c r="W197" s="269">
        <v>0.25998281796980499</v>
      </c>
      <c r="X197" s="269">
        <v>0.33225588043832016</v>
      </c>
      <c r="Y197" s="269">
        <v>0.35960792522448615</v>
      </c>
      <c r="Z197" s="269">
        <v>0.37621604702227579</v>
      </c>
      <c r="AA197" s="269">
        <v>0.38589083413311071</v>
      </c>
      <c r="AB197" s="269">
        <v>0.3932634427774282</v>
      </c>
      <c r="AC197" s="269">
        <v>0.40079765215697882</v>
      </c>
      <c r="AD197" s="269">
        <v>0.40849877874397766</v>
      </c>
      <c r="AE197" s="269">
        <v>0.41637409885769805</v>
      </c>
      <c r="AF197" s="269">
        <v>0.42437475967233096</v>
      </c>
      <c r="AG197" s="269">
        <v>0.43261824577051478</v>
      </c>
      <c r="AH197" s="269">
        <v>0.44038472136678153</v>
      </c>
      <c r="AI197" s="269">
        <v>0.44311858523126935</v>
      </c>
      <c r="AJ197" s="269">
        <v>0.44570430710490655</v>
      </c>
      <c r="AK197" s="269">
        <v>0.44821196142222969</v>
      </c>
      <c r="AL197" s="269">
        <v>0.45584388112938262</v>
      </c>
    </row>
    <row r="198" spans="1:40" ht="3.75" customHeight="1">
      <c r="A198" s="84"/>
      <c r="C198" s="80"/>
      <c r="D198" s="85"/>
      <c r="F198" s="81"/>
    </row>
    <row r="199" spans="1:40">
      <c r="A199" s="84"/>
      <c r="C199" s="80"/>
      <c r="D199" s="85"/>
      <c r="E199" s="87" t="s">
        <v>241</v>
      </c>
      <c r="F199" s="373"/>
      <c r="G199" s="374"/>
      <c r="H199" s="374"/>
      <c r="I199" s="374">
        <v>349720.07074999996</v>
      </c>
      <c r="J199" s="374">
        <v>501953.70963500056</v>
      </c>
      <c r="K199" s="374">
        <v>546871.73405354773</v>
      </c>
      <c r="L199" s="374">
        <v>556551.01676426129</v>
      </c>
      <c r="M199" s="374">
        <v>540646.51233622315</v>
      </c>
      <c r="N199" s="374">
        <v>514862.19422531966</v>
      </c>
      <c r="O199" s="374">
        <v>489532.44440130162</v>
      </c>
      <c r="P199" s="374">
        <v>463983.75531560881</v>
      </c>
      <c r="Q199" s="374">
        <v>437946.66178499069</v>
      </c>
      <c r="R199" s="374">
        <v>411594.27618146071</v>
      </c>
      <c r="S199" s="374">
        <v>385064.93969100976</v>
      </c>
      <c r="T199" s="374">
        <v>358235.41571650805</v>
      </c>
      <c r="U199" s="374">
        <v>331097.2292130859</v>
      </c>
      <c r="V199" s="374">
        <v>303662.2928624443</v>
      </c>
      <c r="W199" s="374">
        <v>275932.56961787835</v>
      </c>
      <c r="X199" s="374">
        <v>247891.94513287098</v>
      </c>
      <c r="Y199" s="374">
        <v>237523.73320462587</v>
      </c>
      <c r="Z199" s="374">
        <v>231793.02559063159</v>
      </c>
      <c r="AA199" s="374">
        <v>228389.77748117258</v>
      </c>
      <c r="AB199" s="374">
        <v>225656.02158307785</v>
      </c>
      <c r="AC199" s="374">
        <v>222920.91152906991</v>
      </c>
      <c r="AD199" s="374">
        <v>220186.4893997944</v>
      </c>
      <c r="AE199" s="374">
        <v>217452.72918838297</v>
      </c>
      <c r="AF199" s="374">
        <v>214719.60899795903</v>
      </c>
      <c r="AG199" s="374">
        <v>211989.22470974078</v>
      </c>
      <c r="AH199" s="374">
        <v>209257.33438908088</v>
      </c>
      <c r="AI199" s="374">
        <v>206542.71914417556</v>
      </c>
      <c r="AJ199" s="374">
        <v>203955.23474460855</v>
      </c>
      <c r="AK199" s="374">
        <v>201369.81212807586</v>
      </c>
      <c r="AL199" s="374">
        <v>198788.61925272952</v>
      </c>
    </row>
    <row r="200" spans="1:40">
      <c r="A200" s="84"/>
      <c r="C200" s="80"/>
      <c r="D200" s="85"/>
      <c r="E200" s="88" t="s">
        <v>242</v>
      </c>
      <c r="F200" s="375"/>
      <c r="G200" s="376"/>
      <c r="H200" s="376"/>
      <c r="I200" s="376">
        <v>174860.03537500001</v>
      </c>
      <c r="J200" s="376">
        <v>74197.2007075</v>
      </c>
      <c r="K200" s="376">
        <v>39547.2007075</v>
      </c>
      <c r="L200" s="376">
        <v>14647.2007075</v>
      </c>
      <c r="M200" s="376">
        <v>4647.2007074999992</v>
      </c>
      <c r="N200" s="376">
        <v>4647.2007074999992</v>
      </c>
      <c r="O200" s="376">
        <v>4647.2007074999992</v>
      </c>
      <c r="P200" s="376">
        <v>4647.2007074999992</v>
      </c>
      <c r="Q200" s="376">
        <v>4647.2007074999992</v>
      </c>
      <c r="R200" s="376">
        <v>4647.2007074999992</v>
      </c>
      <c r="S200" s="376">
        <v>4647.2007074999992</v>
      </c>
      <c r="T200" s="376">
        <v>4647.2007074999992</v>
      </c>
      <c r="U200" s="376">
        <v>4647.2007074999992</v>
      </c>
      <c r="V200" s="376">
        <v>4647.2007074999992</v>
      </c>
      <c r="W200" s="376">
        <v>4647.2007074999992</v>
      </c>
      <c r="X200" s="376">
        <v>4647.2007074999992</v>
      </c>
      <c r="Y200" s="376">
        <v>4647.2007074999992</v>
      </c>
      <c r="Z200" s="376">
        <v>4647.2007074999992</v>
      </c>
      <c r="AA200" s="376">
        <v>4647.2007074999992</v>
      </c>
      <c r="AB200" s="376">
        <v>4647.2007074999992</v>
      </c>
      <c r="AC200" s="376">
        <v>4647.2007074999992</v>
      </c>
      <c r="AD200" s="376">
        <v>4647.2007074999992</v>
      </c>
      <c r="AE200" s="376">
        <v>4647.2007074999992</v>
      </c>
      <c r="AF200" s="376">
        <v>4647.2007074999992</v>
      </c>
      <c r="AG200" s="376">
        <v>4647.2007074999992</v>
      </c>
      <c r="AH200" s="376">
        <v>4647.2007074999992</v>
      </c>
      <c r="AI200" s="376">
        <v>4647.2007074999992</v>
      </c>
      <c r="AJ200" s="376">
        <v>4647.2007074999992</v>
      </c>
      <c r="AK200" s="376">
        <v>4647.2007074999992</v>
      </c>
      <c r="AL200" s="376">
        <v>750</v>
      </c>
    </row>
    <row r="201" spans="1:40">
      <c r="A201" s="84"/>
      <c r="C201" s="80"/>
      <c r="E201" s="88" t="s">
        <v>243</v>
      </c>
      <c r="F201" s="375"/>
      <c r="G201" s="376"/>
      <c r="H201" s="376"/>
      <c r="I201" s="376">
        <v>-1978.3917733327075</v>
      </c>
      <c r="J201" s="376">
        <v>-3684.6915251194973</v>
      </c>
      <c r="K201" s="376">
        <v>-1636.9531857863831</v>
      </c>
      <c r="L201" s="376">
        <v>-1344.2602773714534</v>
      </c>
      <c r="M201" s="376">
        <v>-914.26057973677598</v>
      </c>
      <c r="N201" s="376">
        <v>-149.87891235135794</v>
      </c>
      <c r="O201" s="376">
        <v>-59.0047935261573</v>
      </c>
      <c r="P201" s="376">
        <v>-237.5958579514172</v>
      </c>
      <c r="Q201" s="376">
        <v>-243.07455036329156</v>
      </c>
      <c r="R201" s="376">
        <v>-110.21205678425576</v>
      </c>
      <c r="S201" s="376">
        <v>-100.5861603350786</v>
      </c>
      <c r="T201" s="376">
        <v>-99.435308755493679</v>
      </c>
      <c r="U201" s="376">
        <v>-86.371775474910464</v>
      </c>
      <c r="V201" s="376">
        <v>-71.34528889923422</v>
      </c>
      <c r="W201" s="376">
        <v>-72.433148840680587</v>
      </c>
      <c r="X201" s="376">
        <v>-71.545261578439749</v>
      </c>
      <c r="Y201" s="376">
        <v>-70.707613994292842</v>
      </c>
      <c r="Z201" s="376">
        <v>-69.914776125648132</v>
      </c>
      <c r="AA201" s="376">
        <v>-67.089231428037237</v>
      </c>
      <c r="AB201" s="376">
        <v>-68.443387341258131</v>
      </c>
      <c r="AC201" s="376">
        <v>-67.755462608829475</v>
      </c>
      <c r="AD201" s="376">
        <v>-67.093544744746396</v>
      </c>
      <c r="AE201" s="376">
        <v>-66.453523757258154</v>
      </c>
      <c r="AF201" s="376">
        <v>-63.717621551564662</v>
      </c>
      <c r="AG201" s="376">
        <v>-65.22365399321825</v>
      </c>
      <c r="AH201" s="376">
        <v>-47.94857823863822</v>
      </c>
      <c r="AI201" s="376">
        <v>79.182267099666205</v>
      </c>
      <c r="AJ201" s="376">
        <v>81.244050133997007</v>
      </c>
      <c r="AK201" s="376">
        <v>85.473791320328019</v>
      </c>
      <c r="AL201" s="376">
        <v>85.446199073252501</v>
      </c>
    </row>
    <row r="202" spans="1:40">
      <c r="A202" s="84"/>
      <c r="C202" s="80"/>
      <c r="E202" s="88" t="s">
        <v>244</v>
      </c>
      <c r="F202" s="375"/>
      <c r="G202" s="376"/>
      <c r="H202" s="376"/>
      <c r="I202" s="376">
        <v>-20648.004716666666</v>
      </c>
      <c r="J202" s="376">
        <v>-25594.48476383333</v>
      </c>
      <c r="K202" s="376">
        <v>-28230.964810999998</v>
      </c>
      <c r="L202" s="376">
        <v>-29207.444858166666</v>
      </c>
      <c r="M202" s="376">
        <v>-29517.258238666669</v>
      </c>
      <c r="N202" s="376">
        <v>-29827.071619166669</v>
      </c>
      <c r="O202" s="376">
        <v>-30136.884999666669</v>
      </c>
      <c r="P202" s="376">
        <v>-30446.698380166668</v>
      </c>
      <c r="Q202" s="376">
        <v>-30756.511760666668</v>
      </c>
      <c r="R202" s="376">
        <v>-31066.325141166668</v>
      </c>
      <c r="S202" s="376">
        <v>-31376.138521666668</v>
      </c>
      <c r="T202" s="376">
        <v>-31685.951902166667</v>
      </c>
      <c r="U202" s="376">
        <v>-31995.765282666667</v>
      </c>
      <c r="V202" s="376">
        <v>-32305.578663166667</v>
      </c>
      <c r="W202" s="376">
        <v>-32615.392043666667</v>
      </c>
      <c r="X202" s="376">
        <v>-14943.867374166664</v>
      </c>
      <c r="Y202" s="376">
        <v>-10307.200707499998</v>
      </c>
      <c r="Z202" s="376">
        <v>-7980.5340408333313</v>
      </c>
      <c r="AA202" s="376">
        <v>-7313.8673741666644</v>
      </c>
      <c r="AB202" s="376">
        <v>-7313.8673741666644</v>
      </c>
      <c r="AC202" s="376">
        <v>-7313.8673741666644</v>
      </c>
      <c r="AD202" s="376">
        <v>-7313.8673741666644</v>
      </c>
      <c r="AE202" s="376">
        <v>-7313.8673741666644</v>
      </c>
      <c r="AF202" s="376">
        <v>-7313.8673741666644</v>
      </c>
      <c r="AG202" s="376">
        <v>-7313.8673741666644</v>
      </c>
      <c r="AH202" s="376">
        <v>-7313.8673741666644</v>
      </c>
      <c r="AI202" s="376">
        <v>-7313.8673741666644</v>
      </c>
      <c r="AJ202" s="376">
        <v>-7313.8673741666644</v>
      </c>
      <c r="AK202" s="376">
        <v>-7313.8673741666644</v>
      </c>
      <c r="AL202" s="376">
        <v>-7054.0539936666646</v>
      </c>
    </row>
    <row r="203" spans="1:40">
      <c r="C203" s="80"/>
      <c r="E203" s="21" t="s">
        <v>245</v>
      </c>
      <c r="F203" s="375"/>
      <c r="G203" s="376"/>
      <c r="H203" s="376"/>
      <c r="I203" s="376">
        <v>501953.70963500056</v>
      </c>
      <c r="J203" s="376">
        <v>546871.73405354773</v>
      </c>
      <c r="K203" s="376">
        <v>556551.01676426129</v>
      </c>
      <c r="L203" s="376">
        <v>540646.51233622315</v>
      </c>
      <c r="M203" s="376">
        <v>514862.19422531966</v>
      </c>
      <c r="N203" s="376">
        <v>489532.44440130162</v>
      </c>
      <c r="O203" s="376">
        <v>463983.75531560881</v>
      </c>
      <c r="P203" s="376">
        <v>437946.66178499069</v>
      </c>
      <c r="Q203" s="376">
        <v>411594.27618146071</v>
      </c>
      <c r="R203" s="376">
        <v>385064.93969100976</v>
      </c>
      <c r="S203" s="376">
        <v>358235.41571650805</v>
      </c>
      <c r="T203" s="376">
        <v>331097.2292130859</v>
      </c>
      <c r="U203" s="376">
        <v>303662.2928624443</v>
      </c>
      <c r="V203" s="376">
        <v>275932.56961787835</v>
      </c>
      <c r="W203" s="376">
        <v>247891.94513287098</v>
      </c>
      <c r="X203" s="376">
        <v>237523.73320462587</v>
      </c>
      <c r="Y203" s="376">
        <v>231793.02559063159</v>
      </c>
      <c r="Z203" s="376">
        <v>228389.77748117258</v>
      </c>
      <c r="AA203" s="376">
        <v>225656.02158307785</v>
      </c>
      <c r="AB203" s="376">
        <v>222920.91152906991</v>
      </c>
      <c r="AC203" s="376">
        <v>220186.4893997944</v>
      </c>
      <c r="AD203" s="376">
        <v>217452.72918838297</v>
      </c>
      <c r="AE203" s="376">
        <v>214719.60899795903</v>
      </c>
      <c r="AF203" s="376">
        <v>211989.22470974078</v>
      </c>
      <c r="AG203" s="376">
        <v>209257.33438908088</v>
      </c>
      <c r="AH203" s="376">
        <v>206542.71914417556</v>
      </c>
      <c r="AI203" s="376">
        <v>203955.23474460855</v>
      </c>
      <c r="AJ203" s="376">
        <v>201369.81212807586</v>
      </c>
      <c r="AK203" s="376">
        <v>198788.61925272952</v>
      </c>
      <c r="AL203" s="376">
        <v>192570.01145813611</v>
      </c>
    </row>
    <row r="204" spans="1:40" ht="14.25" thickBot="1">
      <c r="C204" s="80"/>
      <c r="E204" s="89" t="s">
        <v>246</v>
      </c>
      <c r="F204" s="377"/>
      <c r="G204" s="378"/>
      <c r="H204" s="378"/>
      <c r="I204" s="378">
        <v>425836.89019250026</v>
      </c>
      <c r="J204" s="378">
        <v>524412.72184427409</v>
      </c>
      <c r="K204" s="378">
        <v>551711.37540890451</v>
      </c>
      <c r="L204" s="378">
        <v>548598.76455024222</v>
      </c>
      <c r="M204" s="378">
        <v>527754.35328077141</v>
      </c>
      <c r="N204" s="378">
        <v>502197.31931331067</v>
      </c>
      <c r="O204" s="378">
        <v>476758.09985845524</v>
      </c>
      <c r="P204" s="378">
        <v>450965.20855029975</v>
      </c>
      <c r="Q204" s="378">
        <v>424770.4689832257</v>
      </c>
      <c r="R204" s="378">
        <v>398329.60793623526</v>
      </c>
      <c r="S204" s="378">
        <v>371650.17770375893</v>
      </c>
      <c r="T204" s="378">
        <v>344666.32246479695</v>
      </c>
      <c r="U204" s="378">
        <v>317379.76103776507</v>
      </c>
      <c r="V204" s="378">
        <v>289797.4312401613</v>
      </c>
      <c r="W204" s="378">
        <v>261912.25737537467</v>
      </c>
      <c r="X204" s="378">
        <v>242707.83916874841</v>
      </c>
      <c r="Y204" s="378">
        <v>234658.37939762871</v>
      </c>
      <c r="Z204" s="378">
        <v>230091.40153590209</v>
      </c>
      <c r="AA204" s="378">
        <v>227022.89953212522</v>
      </c>
      <c r="AB204" s="378">
        <v>224288.46655607386</v>
      </c>
      <c r="AC204" s="378">
        <v>221553.70046443216</v>
      </c>
      <c r="AD204" s="378">
        <v>218819.60929408867</v>
      </c>
      <c r="AE204" s="378">
        <v>216086.16909317102</v>
      </c>
      <c r="AF204" s="378">
        <v>213354.41685384989</v>
      </c>
      <c r="AG204" s="378">
        <v>210623.27954941083</v>
      </c>
      <c r="AH204" s="378">
        <v>207900.0267666282</v>
      </c>
      <c r="AI204" s="378">
        <v>205248.97694439205</v>
      </c>
      <c r="AJ204" s="378">
        <v>202662.52343634219</v>
      </c>
      <c r="AK204" s="378">
        <v>200079.21569040269</v>
      </c>
      <c r="AL204" s="378">
        <v>195679.3153554328</v>
      </c>
    </row>
    <row r="205" spans="1:40" ht="3.75" customHeight="1">
      <c r="E205" s="90"/>
      <c r="F205" s="81"/>
    </row>
    <row r="206" spans="1:40" collapsed="1">
      <c r="F206" s="402"/>
    </row>
    <row r="207" spans="1:40">
      <c r="E207" s="403" t="s">
        <v>538</v>
      </c>
      <c r="F207" s="403"/>
      <c r="G207" s="403"/>
      <c r="H207" s="403"/>
      <c r="I207" s="403"/>
      <c r="J207" s="403"/>
      <c r="K207" s="403"/>
      <c r="L207" s="403"/>
      <c r="M207" s="403"/>
      <c r="N207" s="403"/>
      <c r="O207" s="403"/>
      <c r="P207" s="403"/>
      <c r="Q207" s="403"/>
      <c r="R207" s="403"/>
      <c r="S207" s="403"/>
      <c r="T207" s="403"/>
      <c r="U207" s="403"/>
      <c r="V207" s="403"/>
      <c r="W207" s="403"/>
      <c r="X207" s="403"/>
      <c r="Y207" s="403"/>
      <c r="Z207" s="403"/>
      <c r="AA207" s="403"/>
      <c r="AB207" s="403"/>
      <c r="AC207" s="403"/>
      <c r="AD207" s="403"/>
      <c r="AE207" s="403"/>
      <c r="AF207" s="403"/>
      <c r="AG207" s="403"/>
      <c r="AH207" s="403"/>
      <c r="AI207" s="403"/>
      <c r="AJ207" s="403"/>
      <c r="AK207" s="403"/>
      <c r="AL207" s="403"/>
    </row>
    <row r="208" spans="1:40">
      <c r="E208" s="403" t="s">
        <v>538</v>
      </c>
      <c r="F208" s="403"/>
      <c r="G208" s="403"/>
      <c r="H208" s="403"/>
      <c r="I208" s="403"/>
      <c r="J208" s="403"/>
      <c r="K208" s="403"/>
      <c r="L208" s="403"/>
      <c r="M208" s="403"/>
      <c r="N208" s="403"/>
      <c r="O208" s="403"/>
      <c r="P208" s="403"/>
      <c r="Q208" s="403"/>
      <c r="R208" s="403"/>
      <c r="S208" s="403"/>
      <c r="T208" s="403"/>
      <c r="U208" s="403"/>
      <c r="V208" s="403"/>
      <c r="W208" s="403"/>
      <c r="X208" s="403"/>
      <c r="Y208" s="403"/>
      <c r="Z208" s="403"/>
      <c r="AA208" s="403"/>
      <c r="AB208" s="403"/>
      <c r="AC208" s="403"/>
      <c r="AD208" s="403"/>
      <c r="AE208" s="403"/>
      <c r="AF208" s="403"/>
      <c r="AG208" s="403"/>
      <c r="AH208" s="403"/>
      <c r="AI208" s="403"/>
      <c r="AJ208" s="403"/>
      <c r="AK208" s="403"/>
      <c r="AL208" s="403"/>
    </row>
    <row r="209" spans="3:39" ht="14.25" thickBot="1">
      <c r="C209" s="418"/>
      <c r="E209" s="399" t="s">
        <v>689</v>
      </c>
      <c r="F209" s="400">
        <v>0</v>
      </c>
      <c r="G209" s="401">
        <v>-74677.747910121092</v>
      </c>
      <c r="H209" s="401">
        <v>-116524.60482507567</v>
      </c>
      <c r="I209" s="401">
        <v>-183140.97697645178</v>
      </c>
      <c r="J209" s="401">
        <v>-43525.989621510082</v>
      </c>
      <c r="K209" s="401">
        <v>32495.814878008554</v>
      </c>
      <c r="L209" s="401">
        <v>75027.76165958558</v>
      </c>
      <c r="M209" s="401">
        <v>99842.734974544961</v>
      </c>
      <c r="N209" s="401">
        <v>110182.458692436</v>
      </c>
      <c r="O209" s="401">
        <v>112105.96971259893</v>
      </c>
      <c r="P209" s="401">
        <v>115882.69721773652</v>
      </c>
      <c r="Q209" s="401">
        <v>110618.21107540913</v>
      </c>
      <c r="R209" s="401">
        <v>91462.662055715758</v>
      </c>
      <c r="S209" s="401">
        <v>92736.698057568807</v>
      </c>
      <c r="T209" s="401">
        <v>93703.921793522401</v>
      </c>
      <c r="U209" s="401">
        <v>94524.220388284244</v>
      </c>
      <c r="V209" s="401">
        <v>95262.280709127968</v>
      </c>
      <c r="W209" s="401">
        <v>95988.44492060873</v>
      </c>
      <c r="X209" s="401">
        <v>90866.228197382938</v>
      </c>
      <c r="Y209" s="401">
        <v>89974.305337727274</v>
      </c>
      <c r="Z209" s="401">
        <v>89827.496096859963</v>
      </c>
      <c r="AA209" s="401">
        <v>90205.633503007819</v>
      </c>
      <c r="AB209" s="401">
        <v>90802.677812437061</v>
      </c>
      <c r="AC209" s="401">
        <v>91397.114176892806</v>
      </c>
      <c r="AD209" s="401">
        <v>91987.116283791504</v>
      </c>
      <c r="AE209" s="401">
        <v>92572.897074690656</v>
      </c>
      <c r="AF209" s="401">
        <v>93145.178422497978</v>
      </c>
      <c r="AG209" s="401">
        <v>93720.916729772303</v>
      </c>
      <c r="AH209" s="401">
        <v>94174.713448196009</v>
      </c>
      <c r="AI209" s="401">
        <v>93695.485217530746</v>
      </c>
      <c r="AJ209" s="401">
        <v>93075.47030112744</v>
      </c>
      <c r="AK209" s="401">
        <v>92430.03816240374</v>
      </c>
      <c r="AL209" s="401">
        <v>95588.718761100798</v>
      </c>
      <c r="AM209" s="82">
        <v>1295478.6884728135</v>
      </c>
    </row>
    <row r="210" spans="3:39" ht="3.75" customHeight="1">
      <c r="C210" s="418"/>
    </row>
    <row r="211" spans="3:39" ht="14.25" thickBot="1">
      <c r="C211" s="418"/>
      <c r="E211" s="399" t="s">
        <v>690</v>
      </c>
      <c r="F211" s="400">
        <v>0</v>
      </c>
      <c r="G211" s="401">
        <v>-45563.299909112015</v>
      </c>
      <c r="H211" s="401">
        <v>-65567.522825454071</v>
      </c>
      <c r="I211" s="401">
        <v>-119889.49876157164</v>
      </c>
      <c r="J211" s="401">
        <v>-25587.45050229305</v>
      </c>
      <c r="K211" s="401">
        <v>22494.551983435358</v>
      </c>
      <c r="L211" s="401">
        <v>44469.839188157282</v>
      </c>
      <c r="M211" s="401">
        <v>28650.149414558953</v>
      </c>
      <c r="N211" s="401">
        <v>100985.6805053407</v>
      </c>
      <c r="O211" s="401">
        <v>101897.54592492315</v>
      </c>
      <c r="P211" s="401">
        <v>104551.3468134164</v>
      </c>
      <c r="Q211" s="401">
        <v>98040.412126613781</v>
      </c>
      <c r="R211" s="401">
        <v>86414.346539457038</v>
      </c>
      <c r="S211" s="401">
        <v>91589.588492973693</v>
      </c>
      <c r="T211" s="401">
        <v>93703.921793522401</v>
      </c>
      <c r="U211" s="401">
        <v>94524.220388284244</v>
      </c>
      <c r="V211" s="401">
        <v>95262.280709127968</v>
      </c>
      <c r="W211" s="401">
        <v>95988.44492060873</v>
      </c>
      <c r="X211" s="401">
        <v>90866.228197382938</v>
      </c>
      <c r="Y211" s="401">
        <v>89974.305337727274</v>
      </c>
      <c r="Z211" s="401">
        <v>89827.496096859963</v>
      </c>
      <c r="AA211" s="401">
        <v>90205.633503007819</v>
      </c>
      <c r="AB211" s="401">
        <v>90802.677812437061</v>
      </c>
      <c r="AC211" s="401">
        <v>91397.114176892806</v>
      </c>
      <c r="AD211" s="401">
        <v>91987.116283791504</v>
      </c>
      <c r="AE211" s="401">
        <v>92572.897074690656</v>
      </c>
      <c r="AF211" s="401">
        <v>93145.178422497978</v>
      </c>
      <c r="AG211" s="401">
        <v>93720.916729772303</v>
      </c>
      <c r="AH211" s="401">
        <v>94174.713448196009</v>
      </c>
      <c r="AI211" s="401">
        <v>93695.485217530761</v>
      </c>
      <c r="AJ211" s="401">
        <v>93075.470301127454</v>
      </c>
      <c r="AK211" s="401">
        <v>92430.03816240374</v>
      </c>
      <c r="AL211" s="401">
        <v>95588.718761100798</v>
      </c>
      <c r="AM211" s="82">
        <v>1295478.6884728135</v>
      </c>
    </row>
    <row r="212" spans="3:39">
      <c r="E212" s="542" t="s">
        <v>413</v>
      </c>
      <c r="F212" s="543">
        <v>0</v>
      </c>
      <c r="G212" s="381">
        <v>-4733.7337601210893</v>
      </c>
      <c r="H212" s="381">
        <v>-11608.583600075681</v>
      </c>
      <c r="I212" s="381">
        <v>-8280.9416014517956</v>
      </c>
      <c r="J212" s="381">
        <v>30671.211085989915</v>
      </c>
      <c r="K212" s="381">
        <v>72043.015585508547</v>
      </c>
      <c r="L212" s="381">
        <v>89674.96236708558</v>
      </c>
      <c r="M212" s="381">
        <v>104489.93568204496</v>
      </c>
      <c r="N212" s="381">
        <v>114829.659399936</v>
      </c>
      <c r="O212" s="381">
        <v>116753.17042009893</v>
      </c>
      <c r="P212" s="381">
        <v>120529.89792523651</v>
      </c>
      <c r="Q212" s="381">
        <v>115265.41178290911</v>
      </c>
      <c r="R212" s="381">
        <v>96109.862763215759</v>
      </c>
      <c r="S212" s="381">
        <v>97383.898765068821</v>
      </c>
      <c r="T212" s="381">
        <v>98351.122501022401</v>
      </c>
      <c r="U212" s="381">
        <v>99171.421095784244</v>
      </c>
      <c r="V212" s="381">
        <v>99909.481416627968</v>
      </c>
      <c r="W212" s="381">
        <v>100635.64562810873</v>
      </c>
      <c r="X212" s="381">
        <v>95513.428904882938</v>
      </c>
      <c r="Y212" s="381">
        <v>94621.506045227274</v>
      </c>
      <c r="Z212" s="381">
        <v>94474.696804359963</v>
      </c>
      <c r="AA212" s="381">
        <v>94852.834210507819</v>
      </c>
      <c r="AB212" s="381">
        <v>95449.878519937061</v>
      </c>
      <c r="AC212" s="381">
        <v>96044.314884392807</v>
      </c>
      <c r="AD212" s="381">
        <v>96634.316991291504</v>
      </c>
      <c r="AE212" s="381">
        <v>97220.097782190656</v>
      </c>
      <c r="AF212" s="381">
        <v>97792.379129997978</v>
      </c>
      <c r="AG212" s="381">
        <v>98368.117437272304</v>
      </c>
      <c r="AH212" s="381">
        <v>98821.914155696009</v>
      </c>
      <c r="AI212" s="381">
        <v>98342.685925030761</v>
      </c>
      <c r="AJ212" s="381">
        <v>97722.671008627454</v>
      </c>
      <c r="AK212" s="381">
        <v>97077.23886990374</v>
      </c>
      <c r="AL212" s="381">
        <v>96338.718761100798</v>
      </c>
    </row>
    <row r="213" spans="3:39">
      <c r="E213" s="542" t="s">
        <v>691</v>
      </c>
      <c r="F213" s="544">
        <v>0</v>
      </c>
      <c r="G213" s="381">
        <v>-40829.566148990925</v>
      </c>
      <c r="H213" s="381">
        <v>-53958.939225378395</v>
      </c>
      <c r="I213" s="381">
        <v>-89931.565375630686</v>
      </c>
      <c r="J213" s="381">
        <v>-32197.2007075</v>
      </c>
      <c r="K213" s="381">
        <v>-18547.2007075</v>
      </c>
      <c r="L213" s="381">
        <v>-8647.2007075000001</v>
      </c>
      <c r="M213" s="381">
        <v>-4647.2007074999992</v>
      </c>
      <c r="N213" s="381">
        <v>-4647.2007074999992</v>
      </c>
      <c r="O213" s="381">
        <v>-4647.2007074999992</v>
      </c>
      <c r="P213" s="381">
        <v>-4647.2007074999992</v>
      </c>
      <c r="Q213" s="381">
        <v>-4647.2007074999992</v>
      </c>
      <c r="R213" s="381">
        <v>-4647.2007074999992</v>
      </c>
      <c r="S213" s="381">
        <v>-4647.2007074999992</v>
      </c>
      <c r="T213" s="381">
        <v>-4647.2007074999992</v>
      </c>
      <c r="U213" s="381">
        <v>-4647.2007074999992</v>
      </c>
      <c r="V213" s="381">
        <v>-4647.2007074999992</v>
      </c>
      <c r="W213" s="381">
        <v>-4647.2007074999992</v>
      </c>
      <c r="X213" s="381">
        <v>-4647.2007074999992</v>
      </c>
      <c r="Y213" s="381">
        <v>-4647.2007074999992</v>
      </c>
      <c r="Z213" s="381">
        <v>-4647.2007074999992</v>
      </c>
      <c r="AA213" s="381">
        <v>-4647.2007074999992</v>
      </c>
      <c r="AB213" s="381">
        <v>-4647.2007074999992</v>
      </c>
      <c r="AC213" s="381">
        <v>-4647.2007074999992</v>
      </c>
      <c r="AD213" s="381">
        <v>-4647.2007074999992</v>
      </c>
      <c r="AE213" s="381">
        <v>-4647.2007074999992</v>
      </c>
      <c r="AF213" s="381">
        <v>-4647.2007074999992</v>
      </c>
      <c r="AG213" s="381">
        <v>-4647.2007074999992</v>
      </c>
      <c r="AH213" s="381">
        <v>-4647.2007074999992</v>
      </c>
      <c r="AI213" s="381">
        <v>-4647.2007074999992</v>
      </c>
      <c r="AJ213" s="381">
        <v>-4647.2007074999992</v>
      </c>
      <c r="AK213" s="381">
        <v>-4647.2007074999992</v>
      </c>
      <c r="AL213" s="381">
        <v>-750</v>
      </c>
    </row>
    <row r="214" spans="3:39" ht="14.25" thickBot="1">
      <c r="E214" s="545" t="s">
        <v>416</v>
      </c>
      <c r="F214" s="546">
        <v>0</v>
      </c>
      <c r="G214" s="547">
        <v>0</v>
      </c>
      <c r="H214" s="547">
        <v>0</v>
      </c>
      <c r="I214" s="547">
        <v>-21676.991784489157</v>
      </c>
      <c r="J214" s="547">
        <v>-24061.460880782965</v>
      </c>
      <c r="K214" s="547">
        <v>-31001.262894573189</v>
      </c>
      <c r="L214" s="547">
        <v>-36557.922471428297</v>
      </c>
      <c r="M214" s="547">
        <v>-71192.585559986008</v>
      </c>
      <c r="N214" s="547">
        <v>-9196.7781870952986</v>
      </c>
      <c r="O214" s="547">
        <v>-10208.423787675783</v>
      </c>
      <c r="P214" s="547">
        <v>-11331.350404320117</v>
      </c>
      <c r="Q214" s="547">
        <v>-12577.798948795331</v>
      </c>
      <c r="R214" s="547">
        <v>-5048.3155162587154</v>
      </c>
      <c r="S214" s="547">
        <v>-1147.1095645951227</v>
      </c>
      <c r="T214" s="547">
        <v>0</v>
      </c>
      <c r="U214" s="547">
        <v>0</v>
      </c>
      <c r="V214" s="547">
        <v>0</v>
      </c>
      <c r="W214" s="547">
        <v>0</v>
      </c>
      <c r="X214" s="547">
        <v>0</v>
      </c>
      <c r="Y214" s="547">
        <v>0</v>
      </c>
      <c r="Z214" s="547">
        <v>0</v>
      </c>
      <c r="AA214" s="547">
        <v>0</v>
      </c>
      <c r="AB214" s="547">
        <v>0</v>
      </c>
      <c r="AC214" s="547">
        <v>0</v>
      </c>
      <c r="AD214" s="547">
        <v>0</v>
      </c>
      <c r="AE214" s="547">
        <v>0</v>
      </c>
      <c r="AF214" s="547">
        <v>0</v>
      </c>
      <c r="AG214" s="547">
        <v>0</v>
      </c>
      <c r="AH214" s="547">
        <v>0</v>
      </c>
      <c r="AI214" s="547">
        <v>0</v>
      </c>
      <c r="AJ214" s="547">
        <v>0</v>
      </c>
      <c r="AK214" s="547">
        <v>0</v>
      </c>
      <c r="AL214" s="547">
        <v>0</v>
      </c>
    </row>
    <row r="216" spans="3:39">
      <c r="E216" s="18" t="s">
        <v>247</v>
      </c>
    </row>
    <row r="217" spans="3:39">
      <c r="E217" s="18" t="s">
        <v>248</v>
      </c>
      <c r="F217" s="381"/>
      <c r="G217" s="381">
        <v>0</v>
      </c>
      <c r="H217" s="381">
        <v>0</v>
      </c>
      <c r="I217" s="381">
        <v>36735.417448972599</v>
      </c>
      <c r="J217" s="381">
        <v>99187.395789041097</v>
      </c>
      <c r="K217" s="381">
        <v>147401.43082191781</v>
      </c>
      <c r="L217" s="381">
        <v>161442.61152054794</v>
      </c>
      <c r="M217" s="381">
        <v>162537.81699999998</v>
      </c>
      <c r="N217" s="381">
        <v>162537.81699999998</v>
      </c>
      <c r="O217" s="381">
        <v>162537.81699999998</v>
      </c>
      <c r="P217" s="381">
        <v>162537.81699999998</v>
      </c>
      <c r="Q217" s="381">
        <v>162537.81699999998</v>
      </c>
      <c r="R217" s="381">
        <v>162537.81699999998</v>
      </c>
      <c r="S217" s="381">
        <v>162537.81699999998</v>
      </c>
      <c r="T217" s="381">
        <v>162537.81699999998</v>
      </c>
      <c r="U217" s="381">
        <v>162537.81699999998</v>
      </c>
      <c r="V217" s="381">
        <v>162537.81699999998</v>
      </c>
      <c r="W217" s="381">
        <v>162537.81699999998</v>
      </c>
      <c r="X217" s="381">
        <v>162537.81699999998</v>
      </c>
      <c r="Y217" s="381">
        <v>162537.81699999998</v>
      </c>
      <c r="Z217" s="381">
        <v>162537.81699999998</v>
      </c>
      <c r="AA217" s="381">
        <v>162537.81699999998</v>
      </c>
      <c r="AB217" s="381">
        <v>162537.81699999998</v>
      </c>
      <c r="AC217" s="381">
        <v>162537.81699999998</v>
      </c>
      <c r="AD217" s="381">
        <v>162537.81699999998</v>
      </c>
      <c r="AE217" s="381">
        <v>162537.81699999998</v>
      </c>
      <c r="AF217" s="381">
        <v>162537.81699999998</v>
      </c>
      <c r="AG217" s="381">
        <v>162537.81699999998</v>
      </c>
      <c r="AH217" s="381">
        <v>162537.81699999998</v>
      </c>
      <c r="AI217" s="381">
        <v>162537.81699999998</v>
      </c>
      <c r="AJ217" s="381">
        <v>162537.81699999998</v>
      </c>
      <c r="AK217" s="381">
        <v>162537.81699999998</v>
      </c>
      <c r="AL217" s="381">
        <v>162537.81699999998</v>
      </c>
    </row>
    <row r="218" spans="3:39">
      <c r="E218" s="18" t="s">
        <v>249</v>
      </c>
      <c r="F218" s="381"/>
      <c r="G218" s="381">
        <v>0</v>
      </c>
      <c r="H218" s="381">
        <v>0</v>
      </c>
      <c r="I218" s="381">
        <v>0</v>
      </c>
      <c r="J218" s="381">
        <v>0</v>
      </c>
      <c r="K218" s="381">
        <v>4794.5205479452052</v>
      </c>
      <c r="L218" s="381">
        <v>5917.8082191780823</v>
      </c>
      <c r="M218" s="381">
        <v>8321.9178082191793</v>
      </c>
      <c r="N218" s="381">
        <v>8321.9178082191775</v>
      </c>
      <c r="O218" s="381">
        <v>6750</v>
      </c>
      <c r="P218" s="381">
        <v>6750</v>
      </c>
      <c r="Q218" s="381">
        <v>6750</v>
      </c>
      <c r="R218" s="381">
        <v>6750</v>
      </c>
      <c r="S218" s="381">
        <v>6750</v>
      </c>
      <c r="T218" s="381">
        <v>6750</v>
      </c>
      <c r="U218" s="381">
        <v>6750</v>
      </c>
      <c r="V218" s="381">
        <v>6750</v>
      </c>
      <c r="W218" s="381">
        <v>6750</v>
      </c>
      <c r="X218" s="381">
        <v>6750</v>
      </c>
      <c r="Y218" s="381">
        <v>6750</v>
      </c>
      <c r="Z218" s="381">
        <v>6750</v>
      </c>
      <c r="AA218" s="381">
        <v>6750</v>
      </c>
      <c r="AB218" s="381">
        <v>6750</v>
      </c>
      <c r="AC218" s="381">
        <v>6750</v>
      </c>
      <c r="AD218" s="381">
        <v>6750</v>
      </c>
      <c r="AE218" s="381">
        <v>6750</v>
      </c>
      <c r="AF218" s="381">
        <v>6750</v>
      </c>
      <c r="AG218" s="381">
        <v>6750</v>
      </c>
      <c r="AH218" s="381">
        <v>6750</v>
      </c>
      <c r="AI218" s="381">
        <v>6750</v>
      </c>
      <c r="AJ218" s="381">
        <v>6750</v>
      </c>
      <c r="AK218" s="381">
        <v>6750</v>
      </c>
      <c r="AL218" s="381">
        <v>6750</v>
      </c>
    </row>
    <row r="219" spans="3:39">
      <c r="E219" s="18" t="s">
        <v>250</v>
      </c>
      <c r="F219" s="381"/>
      <c r="G219" s="381">
        <v>0</v>
      </c>
      <c r="H219" s="381">
        <v>0</v>
      </c>
      <c r="I219" s="381">
        <v>0</v>
      </c>
      <c r="J219" s="381">
        <v>0</v>
      </c>
      <c r="K219" s="381">
        <v>19178.082191780821</v>
      </c>
      <c r="L219" s="381">
        <v>36780.821917808222</v>
      </c>
      <c r="M219" s="381">
        <v>49486.301369863017</v>
      </c>
      <c r="N219" s="381">
        <v>52397.260273972606</v>
      </c>
      <c r="O219" s="381">
        <v>55017.123287671231</v>
      </c>
      <c r="P219" s="381">
        <v>57767.979452054795</v>
      </c>
      <c r="Q219" s="381">
        <v>60656.378424657545</v>
      </c>
      <c r="R219" s="381">
        <v>60775.312500000007</v>
      </c>
      <c r="S219" s="381">
        <v>60775.312500000007</v>
      </c>
      <c r="T219" s="381">
        <v>60775.312500000007</v>
      </c>
      <c r="U219" s="381">
        <v>60775.312500000007</v>
      </c>
      <c r="V219" s="381">
        <v>60775.312500000007</v>
      </c>
      <c r="W219" s="381">
        <v>60775.312500000007</v>
      </c>
      <c r="X219" s="381">
        <v>60775.312500000007</v>
      </c>
      <c r="Y219" s="381">
        <v>60775.312500000007</v>
      </c>
      <c r="Z219" s="381">
        <v>60775.312500000007</v>
      </c>
      <c r="AA219" s="381">
        <v>60775.312500000007</v>
      </c>
      <c r="AB219" s="381">
        <v>60775.312500000007</v>
      </c>
      <c r="AC219" s="381">
        <v>60775.312500000007</v>
      </c>
      <c r="AD219" s="381">
        <v>60775.312500000007</v>
      </c>
      <c r="AE219" s="381">
        <v>60775.312500000007</v>
      </c>
      <c r="AF219" s="381">
        <v>60775.312500000007</v>
      </c>
      <c r="AG219" s="381">
        <v>60775.312500000007</v>
      </c>
      <c r="AH219" s="381">
        <v>60775.312500000007</v>
      </c>
      <c r="AI219" s="381">
        <v>60775.312500000007</v>
      </c>
      <c r="AJ219" s="381">
        <v>60775.312500000007</v>
      </c>
      <c r="AK219" s="381">
        <v>60775.312500000007</v>
      </c>
      <c r="AL219" s="381">
        <v>60775.312500000007</v>
      </c>
    </row>
    <row r="220" spans="3:39">
      <c r="E220" s="18" t="s">
        <v>251</v>
      </c>
      <c r="F220" s="381"/>
      <c r="G220" s="381">
        <v>0</v>
      </c>
      <c r="H220" s="381">
        <v>0</v>
      </c>
      <c r="I220" s="381">
        <v>4165.4495917808217</v>
      </c>
      <c r="J220" s="381">
        <v>14422.345387397258</v>
      </c>
      <c r="K220" s="381">
        <v>20636.167167123287</v>
      </c>
      <c r="L220" s="381">
        <v>24772.057578082193</v>
      </c>
      <c r="M220" s="381">
        <v>24883.838399999997</v>
      </c>
      <c r="N220" s="381">
        <v>24883.838399999997</v>
      </c>
      <c r="O220" s="381">
        <v>24883.838399999997</v>
      </c>
      <c r="P220" s="381">
        <v>24883.838399999997</v>
      </c>
      <c r="Q220" s="381">
        <v>24883.838399999997</v>
      </c>
      <c r="R220" s="381">
        <v>24883.838399999997</v>
      </c>
      <c r="S220" s="381">
        <v>24883.838399999997</v>
      </c>
      <c r="T220" s="381">
        <v>24883.838399999997</v>
      </c>
      <c r="U220" s="381">
        <v>24883.838399999997</v>
      </c>
      <c r="V220" s="381">
        <v>24883.838399999997</v>
      </c>
      <c r="W220" s="381">
        <v>24883.838399999997</v>
      </c>
      <c r="X220" s="381">
        <v>24883.838399999997</v>
      </c>
      <c r="Y220" s="381">
        <v>24883.838399999997</v>
      </c>
      <c r="Z220" s="381">
        <v>24883.838399999997</v>
      </c>
      <c r="AA220" s="381">
        <v>24883.838399999997</v>
      </c>
      <c r="AB220" s="381">
        <v>24883.838399999997</v>
      </c>
      <c r="AC220" s="381">
        <v>24883.838399999997</v>
      </c>
      <c r="AD220" s="381">
        <v>24883.838399999997</v>
      </c>
      <c r="AE220" s="381">
        <v>24883.838399999997</v>
      </c>
      <c r="AF220" s="381">
        <v>24883.838399999997</v>
      </c>
      <c r="AG220" s="381">
        <v>24883.838399999997</v>
      </c>
      <c r="AH220" s="381">
        <v>24883.838399999997</v>
      </c>
      <c r="AI220" s="381">
        <v>24883.838399999997</v>
      </c>
      <c r="AJ220" s="381">
        <v>24883.838399999997</v>
      </c>
      <c r="AK220" s="381">
        <v>24883.838399999997</v>
      </c>
      <c r="AL220" s="381">
        <v>24883.838399999997</v>
      </c>
    </row>
    <row r="221" spans="3:39">
      <c r="E221" s="18" t="s">
        <v>94</v>
      </c>
      <c r="F221" s="381"/>
      <c r="G221" s="381">
        <v>0</v>
      </c>
      <c r="H221" s="381">
        <v>0</v>
      </c>
      <c r="I221" s="381">
        <v>40900.867040753423</v>
      </c>
      <c r="J221" s="381">
        <v>113609.74117643836</v>
      </c>
      <c r="K221" s="381">
        <v>192010.20072876711</v>
      </c>
      <c r="L221" s="381">
        <v>228913.29923561646</v>
      </c>
      <c r="M221" s="381">
        <v>245229.87457808218</v>
      </c>
      <c r="N221" s="381">
        <v>248140.83348219178</v>
      </c>
      <c r="O221" s="381">
        <v>249188.77868767123</v>
      </c>
      <c r="P221" s="381">
        <v>251939.63485205479</v>
      </c>
      <c r="Q221" s="381">
        <v>254828.03382465753</v>
      </c>
      <c r="R221" s="381">
        <v>254946.96789999999</v>
      </c>
      <c r="S221" s="381">
        <v>254946.96789999999</v>
      </c>
      <c r="T221" s="381">
        <v>254946.96789999999</v>
      </c>
      <c r="U221" s="381">
        <v>254946.96789999999</v>
      </c>
      <c r="V221" s="381">
        <v>254946.96789999999</v>
      </c>
      <c r="W221" s="381">
        <v>254946.96789999999</v>
      </c>
      <c r="X221" s="381">
        <v>254946.96789999999</v>
      </c>
      <c r="Y221" s="381">
        <v>254946.96789999999</v>
      </c>
      <c r="Z221" s="381">
        <v>254946.96789999999</v>
      </c>
      <c r="AA221" s="381">
        <v>254946.96789999999</v>
      </c>
      <c r="AB221" s="381">
        <v>254946.96789999999</v>
      </c>
      <c r="AC221" s="381">
        <v>254946.96789999999</v>
      </c>
      <c r="AD221" s="381">
        <v>254946.96789999999</v>
      </c>
      <c r="AE221" s="381">
        <v>254946.96789999999</v>
      </c>
      <c r="AF221" s="381">
        <v>254946.96789999999</v>
      </c>
      <c r="AG221" s="381">
        <v>254946.96789999999</v>
      </c>
      <c r="AH221" s="381">
        <v>254946.96789999999</v>
      </c>
      <c r="AI221" s="381">
        <v>254946.96789999999</v>
      </c>
      <c r="AJ221" s="381">
        <v>254946.96789999999</v>
      </c>
      <c r="AK221" s="381">
        <v>254946.96789999999</v>
      </c>
      <c r="AL221" s="381">
        <v>254946.96789999999</v>
      </c>
    </row>
    <row r="222" spans="3:39">
      <c r="E222" s="18" t="s">
        <v>81</v>
      </c>
      <c r="F222" s="381"/>
      <c r="G222" s="381">
        <v>0</v>
      </c>
      <c r="H222" s="381">
        <v>0</v>
      </c>
      <c r="I222" s="381">
        <v>12847.450171880912</v>
      </c>
      <c r="J222" s="381">
        <v>50121.433514815602</v>
      </c>
      <c r="K222" s="381">
        <v>91418.738978114998</v>
      </c>
      <c r="L222" s="381">
        <v>107657.85393287404</v>
      </c>
      <c r="M222" s="381">
        <v>118681.45607834165</v>
      </c>
      <c r="N222" s="381">
        <v>120425.61371724881</v>
      </c>
      <c r="O222" s="381">
        <v>121246.60501800604</v>
      </c>
      <c r="P222" s="381">
        <v>124078.99697092456</v>
      </c>
      <c r="Q222" s="381">
        <v>126987.18651037304</v>
      </c>
      <c r="R222" s="381">
        <v>128271.8954983322</v>
      </c>
      <c r="S222" s="381">
        <v>129440.61154227171</v>
      </c>
      <c r="T222" s="381">
        <v>130596.47917270182</v>
      </c>
      <c r="U222" s="381">
        <v>131643.21356206294</v>
      </c>
      <c r="V222" s="381">
        <v>132565.20539258968</v>
      </c>
      <c r="W222" s="381">
        <v>133493.44646334482</v>
      </c>
      <c r="X222" s="381">
        <v>134412.1737331218</v>
      </c>
      <c r="Y222" s="381">
        <v>135322.03471005047</v>
      </c>
      <c r="Z222" s="381">
        <v>136223.61187735523</v>
      </c>
      <c r="AA222" s="381">
        <v>137100.61710419509</v>
      </c>
      <c r="AB222" s="381">
        <v>137987.13334914693</v>
      </c>
      <c r="AC222" s="381">
        <v>138866.7606672555</v>
      </c>
      <c r="AD222" s="381">
        <v>139739.85724360307</v>
      </c>
      <c r="AE222" s="381">
        <v>140606.73245828704</v>
      </c>
      <c r="AF222" s="381">
        <v>141450.50348880797</v>
      </c>
      <c r="AG222" s="381">
        <v>142305.6802883872</v>
      </c>
      <c r="AH222" s="381">
        <v>142952.37901826738</v>
      </c>
      <c r="AI222" s="381">
        <v>142054.0692760399</v>
      </c>
      <c r="AJ222" s="381">
        <v>141132.4741657619</v>
      </c>
      <c r="AK222" s="381">
        <v>140170.01212145074</v>
      </c>
      <c r="AL222" s="381">
        <v>139201.04446531241</v>
      </c>
    </row>
    <row r="223" spans="3:39">
      <c r="E223" s="18" t="s">
        <v>252</v>
      </c>
      <c r="F223" s="258"/>
      <c r="G223" s="258">
        <v>0</v>
      </c>
      <c r="H223" s="258">
        <v>0</v>
      </c>
      <c r="I223" s="258">
        <v>0.31411192723811393</v>
      </c>
      <c r="J223" s="258">
        <v>0.4411719716619717</v>
      </c>
      <c r="K223" s="258">
        <v>0.47611397014918372</v>
      </c>
      <c r="L223" s="258">
        <v>0.47029969115976827</v>
      </c>
      <c r="M223" s="258">
        <v>0.48396002437522351</v>
      </c>
      <c r="N223" s="258">
        <v>0.48531155484287247</v>
      </c>
      <c r="O223" s="258">
        <v>0.48656526853472148</v>
      </c>
      <c r="P223" s="258">
        <v>0.4924949464334456</v>
      </c>
      <c r="Q223" s="258">
        <v>0.4983250257220545</v>
      </c>
      <c r="R223" s="258">
        <v>0.50313167697152361</v>
      </c>
      <c r="S223" s="258">
        <v>0.50771583050575164</v>
      </c>
      <c r="T223" s="258">
        <v>0.5122495876237555</v>
      </c>
      <c r="U223" s="258">
        <v>0.51635528222362881</v>
      </c>
      <c r="V223" s="258">
        <v>0.51997168856146914</v>
      </c>
      <c r="W223" s="258">
        <v>0.52361260682145505</v>
      </c>
      <c r="X223" s="258">
        <v>0.52721620829726212</v>
      </c>
      <c r="Y223" s="258">
        <v>0.53078503276465316</v>
      </c>
      <c r="Z223" s="258">
        <v>0.53432136494671856</v>
      </c>
      <c r="AA223" s="258">
        <v>0.53776131653376336</v>
      </c>
      <c r="AB223" s="258">
        <v>0.54123857398951614</v>
      </c>
      <c r="AC223" s="258">
        <v>0.54468881042634865</v>
      </c>
      <c r="AD223" s="258">
        <v>0.54811343078382646</v>
      </c>
      <c r="AE223" s="258">
        <v>0.55151364856960527</v>
      </c>
      <c r="AF223" s="258">
        <v>0.55482324286472906</v>
      </c>
      <c r="AG223" s="258">
        <v>0.55817757497004228</v>
      </c>
      <c r="AH223" s="258">
        <v>0.56071417595497275</v>
      </c>
      <c r="AI223" s="258">
        <v>0.5571906598699341</v>
      </c>
      <c r="AJ223" s="258">
        <v>0.55357580962139341</v>
      </c>
      <c r="AK223" s="258">
        <v>0.54980066354988311</v>
      </c>
      <c r="AL223" s="258">
        <v>0.54599999996827742</v>
      </c>
    </row>
    <row r="225" spans="5:18">
      <c r="E225" s="18" t="s">
        <v>253</v>
      </c>
      <c r="G225" s="381"/>
      <c r="I225" s="381">
        <v>1320</v>
      </c>
      <c r="J225" s="381">
        <v>1346.4</v>
      </c>
      <c r="K225" s="381">
        <v>1373.328</v>
      </c>
      <c r="L225" s="381">
        <v>1400.79456</v>
      </c>
      <c r="M225" s="381">
        <v>1428.8104512</v>
      </c>
      <c r="N225" s="381">
        <v>1457.3866602240003</v>
      </c>
      <c r="O225" s="381">
        <v>1486.5343934284801</v>
      </c>
      <c r="P225" s="381">
        <v>1516.2650812970494</v>
      </c>
      <c r="Q225" s="381">
        <v>1546.5903829229906</v>
      </c>
      <c r="R225" s="381">
        <v>1577.5221905814503</v>
      </c>
    </row>
    <row r="226" spans="5:18">
      <c r="G226" s="259"/>
      <c r="I226" s="259">
        <v>528</v>
      </c>
      <c r="J226" s="259">
        <v>554.40000000000009</v>
      </c>
      <c r="K226" s="259">
        <v>-1476.9732899109376</v>
      </c>
      <c r="L226" s="259">
        <v>-1156.4902768951117</v>
      </c>
      <c r="M226" s="259">
        <v>-866.12441587835656</v>
      </c>
      <c r="N226" s="259">
        <v>-614.58411036886832</v>
      </c>
      <c r="O226" s="259">
        <v>-390.95472015010114</v>
      </c>
      <c r="P226" s="259">
        <v>-166.74237526724437</v>
      </c>
      <c r="Q226" s="259">
        <v>41.907783372984341</v>
      </c>
      <c r="R226" s="259">
        <v>267.32124804573164</v>
      </c>
    </row>
  </sheetData>
  <conditionalFormatting sqref="G131">
    <cfRule type="cellIs" dxfId="5" priority="1" operator="lessThan">
      <formula>0</formula>
    </cfRule>
  </conditionalFormatting>
  <conditionalFormatting sqref="I131:AL131">
    <cfRule type="cellIs" dxfId="4" priority="2" operator="lessThan">
      <formula>0</formula>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8C150-5E08-4BC3-9DB4-BA53E24170E8}">
  <sheetPr>
    <tabColor theme="3" tint="0.79998168889431442"/>
  </sheetPr>
  <dimension ref="A1:AO91"/>
  <sheetViews>
    <sheetView workbookViewId="0"/>
  </sheetViews>
  <sheetFormatPr defaultColWidth="7.109375" defaultRowHeight="15.75"/>
  <cols>
    <col min="1" max="2" width="1.6640625" style="271" customWidth="1"/>
    <col min="3" max="3" width="30.6640625" style="271" customWidth="1"/>
    <col min="4" max="4" width="13.5546875" style="271" bestFit="1" customWidth="1"/>
    <col min="5" max="5" width="14.5546875" style="271" bestFit="1" customWidth="1"/>
    <col min="6" max="6" width="15.6640625" style="271" bestFit="1" customWidth="1"/>
    <col min="7" max="7" width="15" style="271" bestFit="1" customWidth="1"/>
    <col min="8" max="8" width="15.33203125" style="271" bestFit="1" customWidth="1"/>
    <col min="9" max="9" width="14.6640625" style="271" bestFit="1" customWidth="1"/>
    <col min="10" max="10" width="14.33203125" style="271" bestFit="1" customWidth="1"/>
    <col min="11" max="11" width="14" style="271" bestFit="1" customWidth="1"/>
    <col min="12" max="12" width="14.44140625" style="271" bestFit="1" customWidth="1"/>
    <col min="13" max="13" width="13.88671875" style="271" bestFit="1" customWidth="1"/>
    <col min="14" max="15" width="13.109375" style="271" bestFit="1" customWidth="1"/>
    <col min="16" max="16" width="12.5546875" style="271" bestFit="1" customWidth="1"/>
    <col min="17" max="17" width="11.6640625" style="271" bestFit="1" customWidth="1"/>
    <col min="18" max="18" width="11.88671875" style="271" bestFit="1" customWidth="1"/>
    <col min="19" max="19" width="11.33203125" style="271" bestFit="1" customWidth="1"/>
    <col min="20" max="36" width="11" style="271" bestFit="1" customWidth="1"/>
    <col min="37" max="37" width="1.6640625" style="271" customWidth="1"/>
    <col min="38" max="38" width="1.6640625" style="270" customWidth="1"/>
    <col min="39" max="16384" width="7.109375" style="271"/>
  </cols>
  <sheetData>
    <row r="1" spans="1:38" s="270" customFormat="1"/>
    <row r="2" spans="1:38" ht="51" customHeight="1">
      <c r="A2" s="270"/>
      <c r="B2" s="32"/>
      <c r="C2" s="33" t="s">
        <v>446</v>
      </c>
    </row>
    <row r="3" spans="1:38">
      <c r="A3" s="270"/>
      <c r="D3" s="276"/>
      <c r="E3" s="292"/>
      <c r="F3" s="292"/>
      <c r="G3" s="292"/>
      <c r="I3" s="276"/>
      <c r="J3" s="276"/>
      <c r="K3" s="276"/>
    </row>
    <row r="4" spans="1:38" ht="16.5" thickBot="1">
      <c r="A4" s="270"/>
      <c r="C4" s="48"/>
      <c r="D4" s="49">
        <v>2022</v>
      </c>
      <c r="E4" s="50">
        <v>2023</v>
      </c>
      <c r="F4" s="50">
        <v>2024</v>
      </c>
      <c r="G4" s="50">
        <v>2025</v>
      </c>
      <c r="H4" s="50">
        <v>2026</v>
      </c>
      <c r="I4" s="50">
        <v>2027</v>
      </c>
      <c r="J4" s="50">
        <v>2028</v>
      </c>
      <c r="K4" s="50">
        <v>2029</v>
      </c>
      <c r="L4" s="50">
        <v>2030</v>
      </c>
      <c r="M4" s="50">
        <v>2031</v>
      </c>
      <c r="N4" s="50">
        <v>2032</v>
      </c>
      <c r="O4" s="50">
        <v>2033</v>
      </c>
      <c r="P4" s="50">
        <v>2034</v>
      </c>
      <c r="Q4" s="50">
        <v>2035</v>
      </c>
      <c r="R4" s="50">
        <v>2036</v>
      </c>
      <c r="S4" s="50">
        <v>2037</v>
      </c>
      <c r="T4" s="50">
        <v>2038</v>
      </c>
      <c r="U4" s="50">
        <v>2039</v>
      </c>
      <c r="V4" s="50">
        <v>2040</v>
      </c>
      <c r="W4" s="50">
        <v>2041</v>
      </c>
      <c r="X4" s="50">
        <v>2042</v>
      </c>
      <c r="Y4" s="50">
        <v>2043</v>
      </c>
      <c r="Z4" s="50">
        <v>2044</v>
      </c>
      <c r="AA4" s="50">
        <v>2045</v>
      </c>
      <c r="AB4" s="50">
        <v>2046</v>
      </c>
      <c r="AC4" s="50">
        <v>2047</v>
      </c>
      <c r="AD4" s="50">
        <v>2048</v>
      </c>
      <c r="AE4" s="50">
        <v>2049</v>
      </c>
      <c r="AF4" s="50">
        <v>2050</v>
      </c>
      <c r="AG4" s="50">
        <v>2051</v>
      </c>
      <c r="AH4" s="50">
        <v>2052</v>
      </c>
      <c r="AI4" s="50">
        <v>2053</v>
      </c>
      <c r="AJ4" s="50">
        <v>2054</v>
      </c>
      <c r="AK4" s="423"/>
    </row>
    <row r="5" spans="1:38">
      <c r="A5" s="270"/>
      <c r="C5" s="382" t="s">
        <v>447</v>
      </c>
      <c r="D5" s="383">
        <v>0</v>
      </c>
      <c r="E5" s="384">
        <v>10000000</v>
      </c>
      <c r="F5" s="384">
        <v>0</v>
      </c>
      <c r="G5" s="384">
        <v>0</v>
      </c>
      <c r="H5" s="384">
        <v>0</v>
      </c>
      <c r="I5" s="384">
        <v>0</v>
      </c>
      <c r="J5" s="384">
        <v>0</v>
      </c>
      <c r="K5" s="384">
        <v>0</v>
      </c>
      <c r="L5" s="384">
        <v>0</v>
      </c>
      <c r="M5" s="384">
        <v>0</v>
      </c>
      <c r="N5" s="384">
        <v>0</v>
      </c>
      <c r="O5" s="384">
        <v>0</v>
      </c>
      <c r="P5" s="384">
        <v>0</v>
      </c>
      <c r="Q5" s="384">
        <v>0</v>
      </c>
      <c r="R5" s="384">
        <v>0</v>
      </c>
      <c r="S5" s="384">
        <v>0</v>
      </c>
      <c r="T5" s="384">
        <v>0</v>
      </c>
      <c r="U5" s="384">
        <v>0</v>
      </c>
      <c r="V5" s="384">
        <v>0</v>
      </c>
      <c r="W5" s="384">
        <v>0</v>
      </c>
      <c r="X5" s="384">
        <v>0</v>
      </c>
      <c r="Y5" s="384">
        <v>0</v>
      </c>
      <c r="Z5" s="384">
        <v>0</v>
      </c>
      <c r="AA5" s="384">
        <v>0</v>
      </c>
      <c r="AB5" s="384">
        <v>0</v>
      </c>
      <c r="AC5" s="384">
        <v>0</v>
      </c>
      <c r="AD5" s="384">
        <v>0</v>
      </c>
      <c r="AE5" s="384">
        <v>0</v>
      </c>
      <c r="AF5" s="384">
        <v>0</v>
      </c>
      <c r="AG5" s="384">
        <v>0</v>
      </c>
      <c r="AH5" s="384">
        <v>0</v>
      </c>
      <c r="AI5" s="384">
        <v>0</v>
      </c>
      <c r="AJ5" s="384">
        <v>0</v>
      </c>
      <c r="AK5" s="424"/>
      <c r="AL5" s="272"/>
    </row>
    <row r="6" spans="1:38">
      <c r="A6" s="270"/>
      <c r="C6" s="382" t="s">
        <v>448</v>
      </c>
      <c r="D6" s="383">
        <v>0</v>
      </c>
      <c r="E6" s="384">
        <v>30829566.148990925</v>
      </c>
      <c r="F6" s="384">
        <v>53958939.225378402</v>
      </c>
      <c r="G6" s="384">
        <v>89931565.375630677</v>
      </c>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424"/>
      <c r="AL6" s="272"/>
    </row>
    <row r="7" spans="1:38">
      <c r="A7" s="270"/>
      <c r="C7" s="382" t="s">
        <v>449</v>
      </c>
      <c r="D7" s="383">
        <v>0</v>
      </c>
      <c r="E7" s="384">
        <v>0</v>
      </c>
      <c r="F7" s="384">
        <v>0</v>
      </c>
      <c r="G7" s="384">
        <v>0</v>
      </c>
      <c r="H7" s="384">
        <v>20000000</v>
      </c>
      <c r="I7" s="384">
        <v>0</v>
      </c>
      <c r="J7" s="384">
        <v>0</v>
      </c>
      <c r="K7" s="384">
        <v>0</v>
      </c>
      <c r="L7" s="384">
        <v>0</v>
      </c>
      <c r="M7" s="384">
        <v>0</v>
      </c>
      <c r="N7" s="384">
        <v>0</v>
      </c>
      <c r="O7" s="384">
        <v>0</v>
      </c>
      <c r="P7" s="384">
        <v>0</v>
      </c>
      <c r="Q7" s="384">
        <v>0</v>
      </c>
      <c r="R7" s="384">
        <v>0</v>
      </c>
      <c r="S7" s="384">
        <v>0</v>
      </c>
      <c r="T7" s="384">
        <v>0</v>
      </c>
      <c r="U7" s="384">
        <v>0</v>
      </c>
      <c r="V7" s="384">
        <v>0</v>
      </c>
      <c r="W7" s="384">
        <v>0</v>
      </c>
      <c r="X7" s="384">
        <v>0</v>
      </c>
      <c r="Y7" s="384">
        <v>0</v>
      </c>
      <c r="Z7" s="384">
        <v>0</v>
      </c>
      <c r="AA7" s="384">
        <v>0</v>
      </c>
      <c r="AB7" s="384">
        <v>0</v>
      </c>
      <c r="AC7" s="384">
        <v>0</v>
      </c>
      <c r="AD7" s="384">
        <v>0</v>
      </c>
      <c r="AE7" s="384">
        <v>0</v>
      </c>
      <c r="AF7" s="384">
        <v>0</v>
      </c>
      <c r="AG7" s="384">
        <v>0</v>
      </c>
      <c r="AH7" s="384">
        <v>0</v>
      </c>
      <c r="AI7" s="384">
        <v>0</v>
      </c>
      <c r="AJ7" s="384">
        <v>0</v>
      </c>
      <c r="AK7" s="424"/>
      <c r="AL7" s="272"/>
    </row>
    <row r="8" spans="1:38">
      <c r="A8" s="270"/>
      <c r="C8" s="382" t="s">
        <v>450</v>
      </c>
      <c r="D8" s="383">
        <v>0</v>
      </c>
      <c r="E8" s="384">
        <v>0</v>
      </c>
      <c r="F8" s="384">
        <v>0</v>
      </c>
      <c r="G8" s="384">
        <v>0</v>
      </c>
      <c r="H8" s="384">
        <v>0</v>
      </c>
      <c r="I8" s="384">
        <v>10000000</v>
      </c>
      <c r="J8" s="384">
        <v>0</v>
      </c>
      <c r="K8" s="384">
        <v>0</v>
      </c>
      <c r="L8" s="384">
        <v>0</v>
      </c>
      <c r="M8" s="384">
        <v>0</v>
      </c>
      <c r="N8" s="384">
        <v>0</v>
      </c>
      <c r="O8" s="384">
        <v>0</v>
      </c>
      <c r="P8" s="384">
        <v>0</v>
      </c>
      <c r="Q8" s="384">
        <v>0</v>
      </c>
      <c r="R8" s="384">
        <v>0</v>
      </c>
      <c r="S8" s="384">
        <v>0</v>
      </c>
      <c r="T8" s="384">
        <v>0</v>
      </c>
      <c r="U8" s="384">
        <v>0</v>
      </c>
      <c r="V8" s="384">
        <v>0</v>
      </c>
      <c r="W8" s="384">
        <v>0</v>
      </c>
      <c r="X8" s="384">
        <v>0</v>
      </c>
      <c r="Y8" s="384">
        <v>0</v>
      </c>
      <c r="Z8" s="384">
        <v>0</v>
      </c>
      <c r="AA8" s="384">
        <v>0</v>
      </c>
      <c r="AB8" s="384">
        <v>0</v>
      </c>
      <c r="AC8" s="384">
        <v>0</v>
      </c>
      <c r="AD8" s="384">
        <v>0</v>
      </c>
      <c r="AE8" s="384">
        <v>0</v>
      </c>
      <c r="AF8" s="384">
        <v>0</v>
      </c>
      <c r="AG8" s="384">
        <v>0</v>
      </c>
      <c r="AH8" s="384">
        <v>0</v>
      </c>
      <c r="AI8" s="384">
        <v>0</v>
      </c>
      <c r="AJ8" s="384">
        <v>0</v>
      </c>
      <c r="AK8" s="424"/>
      <c r="AL8" s="272"/>
    </row>
    <row r="9" spans="1:38">
      <c r="A9" s="270"/>
      <c r="C9" s="382" t="s">
        <v>451</v>
      </c>
      <c r="D9" s="383">
        <v>0</v>
      </c>
      <c r="E9" s="384">
        <v>0</v>
      </c>
      <c r="F9" s="384">
        <v>0</v>
      </c>
      <c r="G9" s="384">
        <v>0</v>
      </c>
      <c r="H9" s="384">
        <v>5000000</v>
      </c>
      <c r="I9" s="384">
        <v>0</v>
      </c>
      <c r="J9" s="384">
        <v>0</v>
      </c>
      <c r="K9" s="384">
        <v>0</v>
      </c>
      <c r="L9" s="384">
        <v>0</v>
      </c>
      <c r="M9" s="384">
        <v>0</v>
      </c>
      <c r="N9" s="384">
        <v>0</v>
      </c>
      <c r="O9" s="384">
        <v>0</v>
      </c>
      <c r="P9" s="384">
        <v>0</v>
      </c>
      <c r="Q9" s="384">
        <v>0</v>
      </c>
      <c r="R9" s="384">
        <v>0</v>
      </c>
      <c r="S9" s="384">
        <v>0</v>
      </c>
      <c r="T9" s="384">
        <v>0</v>
      </c>
      <c r="U9" s="384">
        <v>0</v>
      </c>
      <c r="V9" s="384">
        <v>0</v>
      </c>
      <c r="W9" s="384">
        <v>0</v>
      </c>
      <c r="X9" s="384">
        <v>0</v>
      </c>
      <c r="Y9" s="384">
        <v>0</v>
      </c>
      <c r="Z9" s="384">
        <v>0</v>
      </c>
      <c r="AA9" s="384">
        <v>0</v>
      </c>
      <c r="AB9" s="384">
        <v>0</v>
      </c>
      <c r="AC9" s="384">
        <v>0</v>
      </c>
      <c r="AD9" s="384">
        <v>0</v>
      </c>
      <c r="AE9" s="384">
        <v>0</v>
      </c>
      <c r="AF9" s="384">
        <v>0</v>
      </c>
      <c r="AG9" s="384">
        <v>0</v>
      </c>
      <c r="AH9" s="384">
        <v>0</v>
      </c>
      <c r="AI9" s="384">
        <v>0</v>
      </c>
      <c r="AJ9" s="384">
        <v>0</v>
      </c>
      <c r="AK9" s="424"/>
      <c r="AL9" s="272"/>
    </row>
    <row r="10" spans="1:38">
      <c r="A10" s="270"/>
      <c r="C10" s="382" t="s">
        <v>452</v>
      </c>
      <c r="D10" s="383">
        <v>0</v>
      </c>
      <c r="E10" s="384">
        <v>0</v>
      </c>
      <c r="F10" s="384">
        <v>0</v>
      </c>
      <c r="G10" s="384">
        <v>0</v>
      </c>
      <c r="H10" s="384">
        <v>0</v>
      </c>
      <c r="I10" s="384">
        <v>0</v>
      </c>
      <c r="J10" s="384">
        <v>4000000</v>
      </c>
      <c r="K10" s="384">
        <v>0</v>
      </c>
      <c r="L10" s="384">
        <v>0</v>
      </c>
      <c r="M10" s="384">
        <v>0</v>
      </c>
      <c r="N10" s="384">
        <v>0</v>
      </c>
      <c r="O10" s="384">
        <v>0</v>
      </c>
      <c r="P10" s="384">
        <v>0</v>
      </c>
      <c r="Q10" s="384">
        <v>0</v>
      </c>
      <c r="R10" s="384">
        <v>0</v>
      </c>
      <c r="S10" s="384">
        <v>0</v>
      </c>
      <c r="T10" s="384">
        <v>0</v>
      </c>
      <c r="U10" s="384">
        <v>0</v>
      </c>
      <c r="V10" s="384">
        <v>0</v>
      </c>
      <c r="W10" s="384">
        <v>0</v>
      </c>
      <c r="X10" s="384">
        <v>0</v>
      </c>
      <c r="Y10" s="384">
        <v>0</v>
      </c>
      <c r="Z10" s="384">
        <v>0</v>
      </c>
      <c r="AA10" s="384">
        <v>0</v>
      </c>
      <c r="AB10" s="384">
        <v>0</v>
      </c>
      <c r="AC10" s="384">
        <v>0</v>
      </c>
      <c r="AD10" s="384">
        <v>0</v>
      </c>
      <c r="AE10" s="384">
        <v>0</v>
      </c>
      <c r="AF10" s="384">
        <v>0</v>
      </c>
      <c r="AG10" s="384">
        <v>0</v>
      </c>
      <c r="AH10" s="384">
        <v>0</v>
      </c>
      <c r="AI10" s="384">
        <v>0</v>
      </c>
      <c r="AJ10" s="384">
        <v>0</v>
      </c>
      <c r="AK10" s="424"/>
      <c r="AL10" s="272"/>
    </row>
    <row r="11" spans="1:38">
      <c r="A11" s="270"/>
      <c r="C11" s="382" t="s">
        <v>453</v>
      </c>
      <c r="D11" s="383">
        <v>0</v>
      </c>
      <c r="E11" s="384">
        <v>0</v>
      </c>
      <c r="F11" s="384">
        <v>0</v>
      </c>
      <c r="G11" s="384">
        <v>0</v>
      </c>
      <c r="H11" s="384">
        <v>3000000</v>
      </c>
      <c r="I11" s="384">
        <v>0</v>
      </c>
      <c r="J11" s="384">
        <v>0</v>
      </c>
      <c r="K11" s="384">
        <v>0</v>
      </c>
      <c r="L11" s="384">
        <v>0</v>
      </c>
      <c r="M11" s="384">
        <v>0</v>
      </c>
      <c r="N11" s="384">
        <v>0</v>
      </c>
      <c r="O11" s="384">
        <v>0</v>
      </c>
      <c r="P11" s="384">
        <v>0</v>
      </c>
      <c r="Q11" s="384">
        <v>0</v>
      </c>
      <c r="R11" s="384">
        <v>0</v>
      </c>
      <c r="S11" s="384">
        <v>0</v>
      </c>
      <c r="T11" s="384">
        <v>0</v>
      </c>
      <c r="U11" s="384">
        <v>0</v>
      </c>
      <c r="V11" s="384">
        <v>0</v>
      </c>
      <c r="W11" s="384">
        <v>0</v>
      </c>
      <c r="X11" s="384">
        <v>0</v>
      </c>
      <c r="Y11" s="384">
        <v>0</v>
      </c>
      <c r="Z11" s="384">
        <v>0</v>
      </c>
      <c r="AA11" s="384">
        <v>0</v>
      </c>
      <c r="AB11" s="384">
        <v>0</v>
      </c>
      <c r="AC11" s="384">
        <v>0</v>
      </c>
      <c r="AD11" s="384">
        <v>0</v>
      </c>
      <c r="AE11" s="384">
        <v>0</v>
      </c>
      <c r="AF11" s="384">
        <v>0</v>
      </c>
      <c r="AG11" s="384">
        <v>0</v>
      </c>
      <c r="AH11" s="384">
        <v>0</v>
      </c>
      <c r="AI11" s="384">
        <v>0</v>
      </c>
      <c r="AJ11" s="384">
        <v>0</v>
      </c>
      <c r="AK11" s="424"/>
      <c r="AL11" s="272"/>
    </row>
    <row r="12" spans="1:38">
      <c r="A12" s="270"/>
      <c r="C12" s="382" t="s">
        <v>454</v>
      </c>
      <c r="D12" s="383">
        <v>0</v>
      </c>
      <c r="E12" s="384">
        <v>0</v>
      </c>
      <c r="F12" s="384">
        <v>0</v>
      </c>
      <c r="G12" s="384">
        <v>0</v>
      </c>
      <c r="H12" s="384">
        <v>0</v>
      </c>
      <c r="I12" s="384">
        <v>4000000</v>
      </c>
      <c r="J12" s="384">
        <v>0</v>
      </c>
      <c r="K12" s="384">
        <v>0</v>
      </c>
      <c r="L12" s="384">
        <v>0</v>
      </c>
      <c r="M12" s="384">
        <v>0</v>
      </c>
      <c r="N12" s="384">
        <v>0</v>
      </c>
      <c r="O12" s="384">
        <v>0</v>
      </c>
      <c r="P12" s="384">
        <v>0</v>
      </c>
      <c r="Q12" s="384">
        <v>0</v>
      </c>
      <c r="R12" s="384">
        <v>0</v>
      </c>
      <c r="S12" s="384">
        <v>0</v>
      </c>
      <c r="T12" s="384">
        <v>0</v>
      </c>
      <c r="U12" s="384">
        <v>0</v>
      </c>
      <c r="V12" s="384">
        <v>0</v>
      </c>
      <c r="W12" s="384">
        <v>0</v>
      </c>
      <c r="X12" s="384">
        <v>0</v>
      </c>
      <c r="Y12" s="384">
        <v>0</v>
      </c>
      <c r="Z12" s="384">
        <v>0</v>
      </c>
      <c r="AA12" s="384">
        <v>0</v>
      </c>
      <c r="AB12" s="384">
        <v>0</v>
      </c>
      <c r="AC12" s="384">
        <v>0</v>
      </c>
      <c r="AD12" s="384">
        <v>0</v>
      </c>
      <c r="AE12" s="384">
        <v>0</v>
      </c>
      <c r="AF12" s="384">
        <v>0</v>
      </c>
      <c r="AG12" s="384">
        <v>0</v>
      </c>
      <c r="AH12" s="384">
        <v>0</v>
      </c>
      <c r="AI12" s="384">
        <v>0</v>
      </c>
      <c r="AJ12" s="384">
        <v>0</v>
      </c>
      <c r="AK12" s="424"/>
      <c r="AL12" s="272"/>
    </row>
    <row r="13" spans="1:38">
      <c r="A13" s="270"/>
      <c r="C13" s="382"/>
      <c r="D13" s="383"/>
      <c r="E13" s="384"/>
      <c r="F13" s="384"/>
      <c r="G13" s="384"/>
      <c r="H13" s="384"/>
      <c r="I13" s="384"/>
      <c r="J13" s="384"/>
      <c r="K13" s="384"/>
      <c r="L13" s="384"/>
      <c r="M13" s="384"/>
      <c r="N13" s="384"/>
      <c r="O13" s="384"/>
      <c r="P13" s="384"/>
      <c r="Q13" s="384"/>
      <c r="R13" s="384"/>
      <c r="S13" s="384"/>
      <c r="T13" s="384"/>
      <c r="U13" s="384"/>
      <c r="V13" s="384"/>
      <c r="W13" s="384"/>
      <c r="X13" s="384"/>
      <c r="Y13" s="384"/>
      <c r="Z13" s="384"/>
      <c r="AA13" s="384"/>
      <c r="AB13" s="384"/>
      <c r="AC13" s="384"/>
      <c r="AD13" s="384"/>
      <c r="AE13" s="384"/>
      <c r="AF13" s="384"/>
      <c r="AG13" s="384"/>
      <c r="AH13" s="384"/>
      <c r="AI13" s="384"/>
      <c r="AJ13" s="384"/>
      <c r="AK13" s="424"/>
      <c r="AL13" s="272"/>
    </row>
    <row r="14" spans="1:38">
      <c r="A14" s="270"/>
      <c r="C14" s="382"/>
      <c r="D14" s="383"/>
      <c r="E14" s="384"/>
      <c r="F14" s="384"/>
      <c r="G14" s="384"/>
      <c r="H14" s="384"/>
      <c r="I14" s="384"/>
      <c r="J14" s="384"/>
      <c r="K14" s="384"/>
      <c r="L14" s="384"/>
      <c r="M14" s="384"/>
      <c r="N14" s="384"/>
      <c r="O14" s="384"/>
      <c r="P14" s="384"/>
      <c r="Q14" s="384"/>
      <c r="R14" s="384"/>
      <c r="S14" s="384"/>
      <c r="T14" s="384"/>
      <c r="U14" s="384"/>
      <c r="V14" s="384"/>
      <c r="W14" s="384"/>
      <c r="X14" s="384"/>
      <c r="Y14" s="384"/>
      <c r="Z14" s="384"/>
      <c r="AA14" s="384"/>
      <c r="AB14" s="384"/>
      <c r="AC14" s="384"/>
      <c r="AD14" s="384"/>
      <c r="AE14" s="384"/>
      <c r="AF14" s="384"/>
      <c r="AG14" s="384"/>
      <c r="AH14" s="384"/>
      <c r="AI14" s="384"/>
      <c r="AJ14" s="384"/>
      <c r="AK14" s="424"/>
      <c r="AL14" s="272"/>
    </row>
    <row r="15" spans="1:38">
      <c r="A15" s="270"/>
      <c r="C15" s="382"/>
      <c r="D15" s="383"/>
      <c r="E15" s="384"/>
      <c r="F15" s="384"/>
      <c r="G15" s="384"/>
      <c r="H15" s="384"/>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424"/>
      <c r="AL15" s="272"/>
    </row>
    <row r="16" spans="1:38">
      <c r="A16" s="270"/>
      <c r="C16" s="382"/>
      <c r="D16" s="383"/>
      <c r="E16" s="384"/>
      <c r="F16" s="384"/>
      <c r="G16" s="384"/>
      <c r="H16" s="384"/>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424"/>
      <c r="AL16" s="272"/>
    </row>
    <row r="17" spans="1:40" ht="16.5" thickBot="1">
      <c r="A17" s="270"/>
      <c r="C17" s="385" t="s">
        <v>455</v>
      </c>
      <c r="D17" s="273">
        <v>0</v>
      </c>
      <c r="E17" s="274">
        <v>40829566.148990929</v>
      </c>
      <c r="F17" s="274">
        <v>53958939.225378402</v>
      </c>
      <c r="G17" s="274">
        <v>89931565.375630677</v>
      </c>
      <c r="H17" s="274">
        <v>28000000</v>
      </c>
      <c r="I17" s="274">
        <v>14000000</v>
      </c>
      <c r="J17" s="274">
        <v>4000000</v>
      </c>
      <c r="K17" s="274">
        <v>0</v>
      </c>
      <c r="L17" s="274">
        <v>0</v>
      </c>
      <c r="M17" s="274">
        <v>0</v>
      </c>
      <c r="N17" s="274">
        <v>0</v>
      </c>
      <c r="O17" s="274">
        <v>0</v>
      </c>
      <c r="P17" s="274">
        <v>0</v>
      </c>
      <c r="Q17" s="274">
        <v>0</v>
      </c>
      <c r="R17" s="274">
        <v>0</v>
      </c>
      <c r="S17" s="274">
        <v>0</v>
      </c>
      <c r="T17" s="274">
        <v>0</v>
      </c>
      <c r="U17" s="274">
        <v>0</v>
      </c>
      <c r="V17" s="274">
        <v>0</v>
      </c>
      <c r="W17" s="274">
        <v>0</v>
      </c>
      <c r="X17" s="274">
        <v>0</v>
      </c>
      <c r="Y17" s="274">
        <v>0</v>
      </c>
      <c r="Z17" s="274">
        <v>0</v>
      </c>
      <c r="AA17" s="274">
        <v>0</v>
      </c>
      <c r="AB17" s="274">
        <v>0</v>
      </c>
      <c r="AC17" s="274">
        <v>0</v>
      </c>
      <c r="AD17" s="274">
        <v>0</v>
      </c>
      <c r="AE17" s="274">
        <v>0</v>
      </c>
      <c r="AF17" s="274">
        <v>0</v>
      </c>
      <c r="AG17" s="274">
        <v>0</v>
      </c>
      <c r="AH17" s="274">
        <v>0</v>
      </c>
      <c r="AI17" s="274">
        <v>0</v>
      </c>
      <c r="AJ17" s="274">
        <v>0</v>
      </c>
      <c r="AK17" s="275"/>
    </row>
    <row r="18" spans="1:40" ht="3.75" customHeight="1">
      <c r="A18" s="270"/>
      <c r="C18" s="386"/>
      <c r="D18" s="387"/>
      <c r="E18" s="387"/>
      <c r="F18" s="387"/>
      <c r="G18" s="387"/>
      <c r="H18" s="387"/>
      <c r="I18" s="387"/>
      <c r="J18" s="387"/>
      <c r="K18" s="387"/>
      <c r="L18" s="387"/>
      <c r="M18" s="387"/>
      <c r="N18" s="387"/>
      <c r="O18" s="387"/>
      <c r="P18" s="387"/>
      <c r="Q18" s="387"/>
      <c r="R18" s="387"/>
      <c r="S18" s="387"/>
      <c r="T18" s="387"/>
      <c r="U18" s="387"/>
      <c r="V18" s="387"/>
      <c r="W18" s="387"/>
      <c r="X18" s="387"/>
      <c r="Y18" s="387"/>
      <c r="Z18" s="387"/>
      <c r="AA18" s="387"/>
      <c r="AB18" s="387"/>
      <c r="AC18" s="387"/>
      <c r="AD18" s="387"/>
      <c r="AE18" s="387"/>
      <c r="AF18" s="387"/>
      <c r="AG18" s="387"/>
      <c r="AH18" s="387"/>
      <c r="AI18" s="387"/>
      <c r="AJ18" s="387"/>
      <c r="AK18" s="425"/>
      <c r="AN18" s="426"/>
    </row>
    <row r="19" spans="1:40">
      <c r="A19" s="270"/>
      <c r="C19" s="382" t="s">
        <v>491</v>
      </c>
      <c r="D19" s="388">
        <v>0</v>
      </c>
      <c r="E19" s="389">
        <v>29114448.001009081</v>
      </c>
      <c r="F19" s="389">
        <v>50957081.999621592</v>
      </c>
      <c r="G19" s="389">
        <v>84928469.999369323</v>
      </c>
      <c r="H19" s="389"/>
      <c r="I19" s="389"/>
      <c r="J19" s="389"/>
      <c r="K19" s="389"/>
      <c r="L19" s="389"/>
      <c r="M19" s="389"/>
      <c r="N19" s="389"/>
      <c r="O19" s="389"/>
      <c r="P19" s="389"/>
      <c r="Q19" s="389"/>
      <c r="R19" s="389"/>
      <c r="S19" s="389"/>
      <c r="T19" s="389"/>
      <c r="U19" s="389"/>
      <c r="V19" s="389"/>
      <c r="W19" s="389"/>
      <c r="X19" s="389"/>
      <c r="Y19" s="389"/>
      <c r="Z19" s="389"/>
      <c r="AA19" s="389"/>
      <c r="AB19" s="389"/>
      <c r="AC19" s="389"/>
      <c r="AD19" s="389"/>
      <c r="AE19" s="389"/>
      <c r="AF19" s="389"/>
      <c r="AG19" s="389"/>
      <c r="AH19" s="389"/>
      <c r="AI19" s="389"/>
      <c r="AJ19" s="389"/>
      <c r="AK19" s="425"/>
      <c r="AN19" s="426"/>
    </row>
    <row r="20" spans="1:40">
      <c r="A20" s="270"/>
      <c r="C20" s="382" t="s">
        <v>492</v>
      </c>
      <c r="D20" s="388">
        <v>0</v>
      </c>
      <c r="E20" s="389">
        <v>0</v>
      </c>
      <c r="F20" s="389">
        <v>0</v>
      </c>
      <c r="G20" s="389">
        <v>0</v>
      </c>
      <c r="H20" s="389">
        <v>30000000</v>
      </c>
      <c r="I20" s="389">
        <v>0</v>
      </c>
      <c r="J20" s="389">
        <v>0</v>
      </c>
      <c r="K20" s="389">
        <v>0</v>
      </c>
      <c r="L20" s="389">
        <v>0</v>
      </c>
      <c r="M20" s="389">
        <v>0</v>
      </c>
      <c r="N20" s="389">
        <v>0</v>
      </c>
      <c r="O20" s="389">
        <v>0</v>
      </c>
      <c r="P20" s="389">
        <v>0</v>
      </c>
      <c r="Q20" s="389">
        <v>0</v>
      </c>
      <c r="R20" s="389">
        <v>0</v>
      </c>
      <c r="S20" s="389">
        <v>0</v>
      </c>
      <c r="T20" s="389">
        <v>0</v>
      </c>
      <c r="U20" s="389">
        <v>0</v>
      </c>
      <c r="V20" s="389">
        <v>0</v>
      </c>
      <c r="W20" s="389">
        <v>0</v>
      </c>
      <c r="X20" s="389">
        <v>0</v>
      </c>
      <c r="Y20" s="389">
        <v>0</v>
      </c>
      <c r="Z20" s="389">
        <v>0</v>
      </c>
      <c r="AA20" s="389">
        <v>0</v>
      </c>
      <c r="AB20" s="389">
        <v>0</v>
      </c>
      <c r="AC20" s="389">
        <v>0</v>
      </c>
      <c r="AD20" s="389">
        <v>0</v>
      </c>
      <c r="AE20" s="389">
        <v>0</v>
      </c>
      <c r="AF20" s="389">
        <v>0</v>
      </c>
      <c r="AG20" s="389">
        <v>0</v>
      </c>
      <c r="AH20" s="389">
        <v>0</v>
      </c>
      <c r="AI20" s="389">
        <v>0</v>
      </c>
      <c r="AJ20" s="389">
        <v>0</v>
      </c>
      <c r="AK20" s="425"/>
      <c r="AN20" s="426"/>
    </row>
    <row r="21" spans="1:40">
      <c r="A21" s="270"/>
      <c r="C21" s="382" t="s">
        <v>493</v>
      </c>
      <c r="D21" s="388">
        <v>0</v>
      </c>
      <c r="E21" s="389">
        <v>0</v>
      </c>
      <c r="F21" s="389">
        <v>0</v>
      </c>
      <c r="G21" s="389">
        <v>0</v>
      </c>
      <c r="H21" s="389">
        <v>0</v>
      </c>
      <c r="I21" s="389">
        <v>15000000</v>
      </c>
      <c r="J21" s="389">
        <v>0</v>
      </c>
      <c r="K21" s="389">
        <v>0</v>
      </c>
      <c r="L21" s="389">
        <v>0</v>
      </c>
      <c r="M21" s="389">
        <v>0</v>
      </c>
      <c r="N21" s="389">
        <v>0</v>
      </c>
      <c r="O21" s="389">
        <v>0</v>
      </c>
      <c r="P21" s="389">
        <v>0</v>
      </c>
      <c r="Q21" s="389">
        <v>0</v>
      </c>
      <c r="R21" s="389">
        <v>0</v>
      </c>
      <c r="S21" s="389">
        <v>0</v>
      </c>
      <c r="T21" s="389">
        <v>0</v>
      </c>
      <c r="U21" s="389">
        <v>0</v>
      </c>
      <c r="V21" s="389">
        <v>0</v>
      </c>
      <c r="W21" s="389">
        <v>0</v>
      </c>
      <c r="X21" s="389">
        <v>0</v>
      </c>
      <c r="Y21" s="389">
        <v>0</v>
      </c>
      <c r="Z21" s="389">
        <v>0</v>
      </c>
      <c r="AA21" s="389">
        <v>0</v>
      </c>
      <c r="AB21" s="389">
        <v>0</v>
      </c>
      <c r="AC21" s="389">
        <v>0</v>
      </c>
      <c r="AD21" s="389">
        <v>0</v>
      </c>
      <c r="AE21" s="389">
        <v>0</v>
      </c>
      <c r="AF21" s="389">
        <v>0</v>
      </c>
      <c r="AG21" s="389">
        <v>0</v>
      </c>
      <c r="AH21" s="389">
        <v>0</v>
      </c>
      <c r="AI21" s="389">
        <v>0</v>
      </c>
      <c r="AJ21" s="389">
        <v>0</v>
      </c>
      <c r="AK21" s="425"/>
      <c r="AN21" s="426"/>
    </row>
    <row r="22" spans="1:40">
      <c r="A22" s="270"/>
      <c r="C22" s="382" t="s">
        <v>494</v>
      </c>
      <c r="D22" s="388">
        <v>0</v>
      </c>
      <c r="E22" s="389">
        <v>0</v>
      </c>
      <c r="F22" s="389">
        <v>0</v>
      </c>
      <c r="G22" s="389">
        <v>0</v>
      </c>
      <c r="H22" s="389">
        <v>7500000</v>
      </c>
      <c r="I22" s="389">
        <v>0</v>
      </c>
      <c r="J22" s="389">
        <v>0</v>
      </c>
      <c r="K22" s="389">
        <v>0</v>
      </c>
      <c r="L22" s="389">
        <v>0</v>
      </c>
      <c r="M22" s="389">
        <v>0</v>
      </c>
      <c r="N22" s="389">
        <v>0</v>
      </c>
      <c r="O22" s="389">
        <v>0</v>
      </c>
      <c r="P22" s="389">
        <v>0</v>
      </c>
      <c r="Q22" s="389">
        <v>0</v>
      </c>
      <c r="R22" s="389">
        <v>0</v>
      </c>
      <c r="S22" s="389">
        <v>0</v>
      </c>
      <c r="T22" s="389">
        <v>0</v>
      </c>
      <c r="U22" s="389">
        <v>0</v>
      </c>
      <c r="V22" s="389">
        <v>0</v>
      </c>
      <c r="W22" s="389">
        <v>0</v>
      </c>
      <c r="X22" s="389">
        <v>0</v>
      </c>
      <c r="Y22" s="389">
        <v>0</v>
      </c>
      <c r="Z22" s="389">
        <v>0</v>
      </c>
      <c r="AA22" s="389">
        <v>0</v>
      </c>
      <c r="AB22" s="389">
        <v>0</v>
      </c>
      <c r="AC22" s="389">
        <v>0</v>
      </c>
      <c r="AD22" s="389">
        <v>0</v>
      </c>
      <c r="AE22" s="389">
        <v>0</v>
      </c>
      <c r="AF22" s="389">
        <v>0</v>
      </c>
      <c r="AG22" s="389">
        <v>0</v>
      </c>
      <c r="AH22" s="389">
        <v>0</v>
      </c>
      <c r="AI22" s="389">
        <v>0</v>
      </c>
      <c r="AJ22" s="389">
        <v>0</v>
      </c>
      <c r="AK22" s="425"/>
      <c r="AN22" s="426"/>
    </row>
    <row r="23" spans="1:40">
      <c r="A23" s="270"/>
      <c r="C23" s="382" t="s">
        <v>495</v>
      </c>
      <c r="D23" s="388">
        <v>0</v>
      </c>
      <c r="E23" s="389">
        <v>0</v>
      </c>
      <c r="F23" s="389">
        <v>0</v>
      </c>
      <c r="G23" s="389">
        <v>0</v>
      </c>
      <c r="H23" s="389">
        <v>0</v>
      </c>
      <c r="I23" s="389">
        <v>0</v>
      </c>
      <c r="J23" s="389">
        <v>6000000</v>
      </c>
      <c r="K23" s="389">
        <v>0</v>
      </c>
      <c r="L23" s="389">
        <v>0</v>
      </c>
      <c r="M23" s="389">
        <v>0</v>
      </c>
      <c r="N23" s="389">
        <v>0</v>
      </c>
      <c r="O23" s="389">
        <v>0</v>
      </c>
      <c r="P23" s="389">
        <v>0</v>
      </c>
      <c r="Q23" s="389">
        <v>0</v>
      </c>
      <c r="R23" s="389">
        <v>0</v>
      </c>
      <c r="S23" s="389">
        <v>0</v>
      </c>
      <c r="T23" s="389">
        <v>0</v>
      </c>
      <c r="U23" s="389">
        <v>0</v>
      </c>
      <c r="V23" s="389">
        <v>0</v>
      </c>
      <c r="W23" s="389">
        <v>0</v>
      </c>
      <c r="X23" s="389">
        <v>0</v>
      </c>
      <c r="Y23" s="389">
        <v>0</v>
      </c>
      <c r="Z23" s="389">
        <v>0</v>
      </c>
      <c r="AA23" s="389">
        <v>0</v>
      </c>
      <c r="AB23" s="389">
        <v>0</v>
      </c>
      <c r="AC23" s="389">
        <v>0</v>
      </c>
      <c r="AD23" s="389">
        <v>0</v>
      </c>
      <c r="AE23" s="389">
        <v>0</v>
      </c>
      <c r="AF23" s="389">
        <v>0</v>
      </c>
      <c r="AG23" s="389">
        <v>0</v>
      </c>
      <c r="AH23" s="389">
        <v>0</v>
      </c>
      <c r="AI23" s="389">
        <v>0</v>
      </c>
      <c r="AJ23" s="389">
        <v>0</v>
      </c>
      <c r="AK23" s="425"/>
      <c r="AN23" s="426"/>
    </row>
    <row r="24" spans="1:40">
      <c r="A24" s="270"/>
      <c r="C24" s="382" t="s">
        <v>496</v>
      </c>
      <c r="D24" s="388">
        <v>0</v>
      </c>
      <c r="E24" s="389">
        <v>0</v>
      </c>
      <c r="F24" s="389">
        <v>0</v>
      </c>
      <c r="G24" s="389">
        <v>0</v>
      </c>
      <c r="H24" s="389">
        <v>4500000</v>
      </c>
      <c r="I24" s="389">
        <v>0</v>
      </c>
      <c r="J24" s="389">
        <v>0</v>
      </c>
      <c r="K24" s="389">
        <v>0</v>
      </c>
      <c r="L24" s="389">
        <v>0</v>
      </c>
      <c r="M24" s="389">
        <v>0</v>
      </c>
      <c r="N24" s="389">
        <v>0</v>
      </c>
      <c r="O24" s="389">
        <v>0</v>
      </c>
      <c r="P24" s="389">
        <v>0</v>
      </c>
      <c r="Q24" s="389">
        <v>0</v>
      </c>
      <c r="R24" s="389">
        <v>0</v>
      </c>
      <c r="S24" s="389">
        <v>0</v>
      </c>
      <c r="T24" s="389">
        <v>0</v>
      </c>
      <c r="U24" s="389">
        <v>0</v>
      </c>
      <c r="V24" s="389">
        <v>0</v>
      </c>
      <c r="W24" s="389">
        <v>0</v>
      </c>
      <c r="X24" s="389">
        <v>0</v>
      </c>
      <c r="Y24" s="389">
        <v>0</v>
      </c>
      <c r="Z24" s="389">
        <v>0</v>
      </c>
      <c r="AA24" s="389">
        <v>0</v>
      </c>
      <c r="AB24" s="389">
        <v>0</v>
      </c>
      <c r="AC24" s="389">
        <v>0</v>
      </c>
      <c r="AD24" s="389">
        <v>0</v>
      </c>
      <c r="AE24" s="389">
        <v>0</v>
      </c>
      <c r="AF24" s="389">
        <v>0</v>
      </c>
      <c r="AG24" s="389">
        <v>0</v>
      </c>
      <c r="AH24" s="389">
        <v>0</v>
      </c>
      <c r="AI24" s="389">
        <v>0</v>
      </c>
      <c r="AJ24" s="389">
        <v>0</v>
      </c>
      <c r="AK24" s="425"/>
      <c r="AN24" s="426"/>
    </row>
    <row r="25" spans="1:40">
      <c r="A25" s="270"/>
      <c r="C25" s="382" t="s">
        <v>497</v>
      </c>
      <c r="D25" s="388">
        <v>0</v>
      </c>
      <c r="E25" s="389">
        <v>0</v>
      </c>
      <c r="F25" s="389">
        <v>0</v>
      </c>
      <c r="G25" s="389">
        <v>0</v>
      </c>
      <c r="H25" s="389">
        <v>0</v>
      </c>
      <c r="I25" s="389">
        <v>6000000</v>
      </c>
      <c r="J25" s="389">
        <v>0</v>
      </c>
      <c r="K25" s="389">
        <v>0</v>
      </c>
      <c r="L25" s="389">
        <v>0</v>
      </c>
      <c r="M25" s="389">
        <v>0</v>
      </c>
      <c r="N25" s="389">
        <v>0</v>
      </c>
      <c r="O25" s="389">
        <v>0</v>
      </c>
      <c r="P25" s="389">
        <v>0</v>
      </c>
      <c r="Q25" s="389">
        <v>0</v>
      </c>
      <c r="R25" s="389">
        <v>0</v>
      </c>
      <c r="S25" s="389">
        <v>0</v>
      </c>
      <c r="T25" s="389">
        <v>0</v>
      </c>
      <c r="U25" s="389">
        <v>0</v>
      </c>
      <c r="V25" s="389">
        <v>0</v>
      </c>
      <c r="W25" s="389">
        <v>0</v>
      </c>
      <c r="X25" s="389">
        <v>0</v>
      </c>
      <c r="Y25" s="389">
        <v>0</v>
      </c>
      <c r="Z25" s="389">
        <v>0</v>
      </c>
      <c r="AA25" s="389">
        <v>0</v>
      </c>
      <c r="AB25" s="389">
        <v>0</v>
      </c>
      <c r="AC25" s="389">
        <v>0</v>
      </c>
      <c r="AD25" s="389">
        <v>0</v>
      </c>
      <c r="AE25" s="389">
        <v>0</v>
      </c>
      <c r="AF25" s="389">
        <v>0</v>
      </c>
      <c r="AG25" s="389">
        <v>0</v>
      </c>
      <c r="AH25" s="389">
        <v>0</v>
      </c>
      <c r="AI25" s="389">
        <v>0</v>
      </c>
      <c r="AJ25" s="389">
        <v>0</v>
      </c>
      <c r="AK25" s="425"/>
      <c r="AN25" s="426"/>
    </row>
    <row r="26" spans="1:40">
      <c r="A26" s="270"/>
      <c r="C26" s="382"/>
      <c r="D26" s="383"/>
      <c r="E26" s="384"/>
      <c r="F26" s="384"/>
      <c r="G26" s="384"/>
      <c r="H26" s="384"/>
      <c r="I26" s="384"/>
      <c r="J26" s="384"/>
      <c r="K26" s="384"/>
      <c r="L26" s="384"/>
      <c r="M26" s="384"/>
      <c r="N26" s="384"/>
      <c r="O26" s="384"/>
      <c r="P26" s="384"/>
      <c r="Q26" s="384"/>
      <c r="R26" s="384"/>
      <c r="S26" s="384"/>
      <c r="T26" s="384"/>
      <c r="U26" s="384"/>
      <c r="V26" s="384"/>
      <c r="W26" s="384"/>
      <c r="X26" s="384"/>
      <c r="Y26" s="384"/>
      <c r="Z26" s="384"/>
      <c r="AA26" s="384"/>
      <c r="AB26" s="384"/>
      <c r="AC26" s="384"/>
      <c r="AD26" s="384"/>
      <c r="AE26" s="384"/>
      <c r="AF26" s="384"/>
      <c r="AG26" s="384"/>
      <c r="AH26" s="384"/>
      <c r="AI26" s="384"/>
      <c r="AJ26" s="384"/>
      <c r="AK26" s="424"/>
      <c r="AL26" s="272"/>
    </row>
    <row r="27" spans="1:40">
      <c r="A27" s="270"/>
      <c r="C27" s="382"/>
      <c r="D27" s="383"/>
      <c r="E27" s="384"/>
      <c r="F27" s="384"/>
      <c r="G27" s="384"/>
      <c r="H27" s="384"/>
      <c r="I27" s="384"/>
      <c r="J27" s="384"/>
      <c r="K27" s="384"/>
      <c r="L27" s="384"/>
      <c r="M27" s="384"/>
      <c r="N27" s="384"/>
      <c r="O27" s="384"/>
      <c r="P27" s="384"/>
      <c r="Q27" s="384"/>
      <c r="R27" s="384"/>
      <c r="S27" s="384"/>
      <c r="T27" s="384"/>
      <c r="U27" s="384"/>
      <c r="V27" s="384"/>
      <c r="W27" s="384"/>
      <c r="X27" s="384"/>
      <c r="Y27" s="384"/>
      <c r="Z27" s="384"/>
      <c r="AA27" s="384"/>
      <c r="AB27" s="384"/>
      <c r="AC27" s="384"/>
      <c r="AD27" s="384"/>
      <c r="AE27" s="384"/>
      <c r="AF27" s="384"/>
      <c r="AG27" s="384"/>
      <c r="AH27" s="384"/>
      <c r="AI27" s="384"/>
      <c r="AJ27" s="384"/>
      <c r="AK27" s="424"/>
      <c r="AL27" s="272"/>
    </row>
    <row r="28" spans="1:40" ht="16.5" thickBot="1">
      <c r="A28" s="270"/>
      <c r="C28" s="385" t="s">
        <v>498</v>
      </c>
      <c r="D28" s="273">
        <v>0</v>
      </c>
      <c r="E28" s="274">
        <v>29114448.001009081</v>
      </c>
      <c r="F28" s="274">
        <v>50957081.999621592</v>
      </c>
      <c r="G28" s="274">
        <v>84928469.999369323</v>
      </c>
      <c r="H28" s="274">
        <v>42000000</v>
      </c>
      <c r="I28" s="274">
        <v>21000000</v>
      </c>
      <c r="J28" s="274">
        <v>6000000</v>
      </c>
      <c r="K28" s="274">
        <v>0</v>
      </c>
      <c r="L28" s="274">
        <v>0</v>
      </c>
      <c r="M28" s="274">
        <v>0</v>
      </c>
      <c r="N28" s="274">
        <v>0</v>
      </c>
      <c r="O28" s="274">
        <v>0</v>
      </c>
      <c r="P28" s="274">
        <v>0</v>
      </c>
      <c r="Q28" s="274">
        <v>0</v>
      </c>
      <c r="R28" s="274">
        <v>0</v>
      </c>
      <c r="S28" s="274">
        <v>0</v>
      </c>
      <c r="T28" s="274">
        <v>0</v>
      </c>
      <c r="U28" s="274">
        <v>0</v>
      </c>
      <c r="V28" s="274">
        <v>0</v>
      </c>
      <c r="W28" s="274">
        <v>0</v>
      </c>
      <c r="X28" s="274">
        <v>0</v>
      </c>
      <c r="Y28" s="274">
        <v>0</v>
      </c>
      <c r="Z28" s="274">
        <v>0</v>
      </c>
      <c r="AA28" s="274">
        <v>0</v>
      </c>
      <c r="AB28" s="274">
        <v>0</v>
      </c>
      <c r="AC28" s="274">
        <v>0</v>
      </c>
      <c r="AD28" s="274">
        <v>0</v>
      </c>
      <c r="AE28" s="274">
        <v>0</v>
      </c>
      <c r="AF28" s="274">
        <v>0</v>
      </c>
      <c r="AG28" s="274">
        <v>0</v>
      </c>
      <c r="AH28" s="274">
        <v>0</v>
      </c>
      <c r="AI28" s="274">
        <v>0</v>
      </c>
      <c r="AJ28" s="274">
        <v>0</v>
      </c>
      <c r="AK28" s="275"/>
    </row>
    <row r="29" spans="1:40" ht="3.75" customHeight="1">
      <c r="A29" s="270"/>
      <c r="C29" s="386"/>
      <c r="D29" s="390"/>
      <c r="E29" s="390"/>
      <c r="F29" s="390"/>
      <c r="G29" s="390"/>
      <c r="H29" s="390"/>
      <c r="I29" s="390"/>
      <c r="J29" s="390"/>
      <c r="K29" s="390"/>
      <c r="L29" s="390"/>
      <c r="M29" s="390"/>
      <c r="N29" s="390"/>
      <c r="O29" s="390"/>
      <c r="P29" s="390"/>
      <c r="Q29" s="390"/>
      <c r="R29" s="390"/>
      <c r="S29" s="390"/>
      <c r="T29" s="390"/>
      <c r="U29" s="390"/>
      <c r="V29" s="390"/>
      <c r="W29" s="390"/>
      <c r="X29" s="390"/>
      <c r="Y29" s="390"/>
      <c r="Z29" s="390"/>
      <c r="AA29" s="390"/>
      <c r="AB29" s="390"/>
      <c r="AC29" s="390"/>
      <c r="AD29" s="390"/>
      <c r="AE29" s="390"/>
      <c r="AF29" s="390"/>
      <c r="AG29" s="390"/>
      <c r="AH29" s="390"/>
      <c r="AI29" s="390"/>
      <c r="AJ29" s="390"/>
      <c r="AK29" s="424"/>
      <c r="AL29" s="272"/>
    </row>
    <row r="30" spans="1:40">
      <c r="A30" s="270"/>
      <c r="C30" s="382" t="s">
        <v>515</v>
      </c>
      <c r="D30" s="388">
        <v>0</v>
      </c>
      <c r="E30" s="389">
        <v>0</v>
      </c>
      <c r="F30" s="389">
        <v>0</v>
      </c>
      <c r="G30" s="389">
        <v>21676991.784489159</v>
      </c>
      <c r="H30" s="389">
        <v>24061460.880782966</v>
      </c>
      <c r="I30" s="389">
        <v>26708221.577669088</v>
      </c>
      <c r="J30" s="389">
        <v>29646125.951212689</v>
      </c>
      <c r="K30" s="389">
        <v>32907199.805846088</v>
      </c>
      <c r="L30" s="389">
        <v>0</v>
      </c>
      <c r="M30" s="389">
        <v>0</v>
      </c>
      <c r="N30" s="389">
        <v>0</v>
      </c>
      <c r="O30" s="389">
        <v>0</v>
      </c>
      <c r="P30" s="389">
        <v>0</v>
      </c>
      <c r="Q30" s="389">
        <v>0</v>
      </c>
      <c r="R30" s="389">
        <v>0</v>
      </c>
      <c r="S30" s="389">
        <v>0</v>
      </c>
      <c r="T30" s="389">
        <v>0</v>
      </c>
      <c r="U30" s="389">
        <v>0</v>
      </c>
      <c r="V30" s="389">
        <v>0</v>
      </c>
      <c r="W30" s="389">
        <v>0</v>
      </c>
      <c r="X30" s="389">
        <v>0</v>
      </c>
      <c r="Y30" s="389">
        <v>0</v>
      </c>
      <c r="Z30" s="389">
        <v>0</v>
      </c>
      <c r="AA30" s="389">
        <v>0</v>
      </c>
      <c r="AB30" s="389">
        <v>0</v>
      </c>
      <c r="AC30" s="389">
        <v>0</v>
      </c>
      <c r="AD30" s="389">
        <v>0</v>
      </c>
      <c r="AE30" s="389">
        <v>0</v>
      </c>
      <c r="AF30" s="389">
        <v>0</v>
      </c>
      <c r="AG30" s="389">
        <v>0</v>
      </c>
      <c r="AH30" s="389">
        <v>0</v>
      </c>
      <c r="AI30" s="389">
        <v>0</v>
      </c>
      <c r="AJ30" s="389">
        <v>0</v>
      </c>
      <c r="AK30" s="425"/>
      <c r="AN30" s="426"/>
    </row>
    <row r="31" spans="1:40">
      <c r="A31" s="270"/>
      <c r="C31" s="382" t="s">
        <v>516</v>
      </c>
      <c r="D31" s="388">
        <v>0</v>
      </c>
      <c r="E31" s="389">
        <v>0</v>
      </c>
      <c r="F31" s="389">
        <v>0</v>
      </c>
      <c r="G31" s="389">
        <v>0</v>
      </c>
      <c r="H31" s="389">
        <v>0</v>
      </c>
      <c r="I31" s="389">
        <v>0</v>
      </c>
      <c r="J31" s="389">
        <v>0</v>
      </c>
      <c r="K31" s="389">
        <v>30000000</v>
      </c>
      <c r="L31" s="389">
        <v>0</v>
      </c>
      <c r="M31" s="389">
        <v>0</v>
      </c>
      <c r="N31" s="389">
        <v>0</v>
      </c>
      <c r="O31" s="389">
        <v>0</v>
      </c>
      <c r="P31" s="389">
        <v>0</v>
      </c>
      <c r="Q31" s="389">
        <v>0</v>
      </c>
      <c r="R31" s="389">
        <v>0</v>
      </c>
      <c r="S31" s="389">
        <v>0</v>
      </c>
      <c r="T31" s="389">
        <v>0</v>
      </c>
      <c r="U31" s="389">
        <v>0</v>
      </c>
      <c r="V31" s="389">
        <v>0</v>
      </c>
      <c r="W31" s="389">
        <v>0</v>
      </c>
      <c r="X31" s="389">
        <v>0</v>
      </c>
      <c r="Y31" s="389">
        <v>0</v>
      </c>
      <c r="Z31" s="389">
        <v>0</v>
      </c>
      <c r="AA31" s="389">
        <v>0</v>
      </c>
      <c r="AB31" s="389">
        <v>0</v>
      </c>
      <c r="AC31" s="389">
        <v>0</v>
      </c>
      <c r="AD31" s="389">
        <v>0</v>
      </c>
      <c r="AE31" s="389">
        <v>0</v>
      </c>
      <c r="AF31" s="389">
        <v>0</v>
      </c>
      <c r="AG31" s="389">
        <v>0</v>
      </c>
      <c r="AH31" s="389">
        <v>0</v>
      </c>
      <c r="AI31" s="389">
        <v>0</v>
      </c>
      <c r="AJ31" s="389">
        <v>0</v>
      </c>
      <c r="AK31" s="425"/>
      <c r="AN31" s="426"/>
    </row>
    <row r="32" spans="1:40">
      <c r="A32" s="270"/>
      <c r="C32" s="382" t="s">
        <v>456</v>
      </c>
      <c r="D32" s="388">
        <v>0</v>
      </c>
      <c r="E32" s="389">
        <v>0</v>
      </c>
      <c r="F32" s="389">
        <v>0</v>
      </c>
      <c r="G32" s="389">
        <v>0</v>
      </c>
      <c r="H32" s="389">
        <v>0</v>
      </c>
      <c r="I32" s="389">
        <v>3066458.0835029306</v>
      </c>
      <c r="J32" s="389">
        <v>3403768.4726882535</v>
      </c>
      <c r="K32" s="389">
        <v>3778183.0046839612</v>
      </c>
      <c r="L32" s="389">
        <v>4193783.1351991966</v>
      </c>
      <c r="M32" s="389">
        <v>4655099.2800711086</v>
      </c>
      <c r="N32" s="389">
        <v>5167160.2008789303</v>
      </c>
      <c r="O32" s="389">
        <v>5735547.8229756132</v>
      </c>
      <c r="P32" s="389">
        <v>0</v>
      </c>
      <c r="Q32" s="389">
        <v>0</v>
      </c>
      <c r="R32" s="389">
        <v>0</v>
      </c>
      <c r="S32" s="389">
        <v>0</v>
      </c>
      <c r="T32" s="389">
        <v>0</v>
      </c>
      <c r="U32" s="389">
        <v>0</v>
      </c>
      <c r="V32" s="389">
        <v>0</v>
      </c>
      <c r="W32" s="389">
        <v>0</v>
      </c>
      <c r="X32" s="389">
        <v>0</v>
      </c>
      <c r="Y32" s="389">
        <v>0</v>
      </c>
      <c r="Z32" s="389">
        <v>0</v>
      </c>
      <c r="AA32" s="389">
        <v>0</v>
      </c>
      <c r="AB32" s="389">
        <v>0</v>
      </c>
      <c r="AC32" s="389">
        <v>0</v>
      </c>
      <c r="AD32" s="389">
        <v>0</v>
      </c>
      <c r="AE32" s="389">
        <v>0</v>
      </c>
      <c r="AF32" s="389">
        <v>0</v>
      </c>
      <c r="AG32" s="389">
        <v>0</v>
      </c>
      <c r="AH32" s="389">
        <v>0</v>
      </c>
      <c r="AI32" s="389">
        <v>0</v>
      </c>
      <c r="AJ32" s="389">
        <v>0</v>
      </c>
      <c r="AK32" s="425"/>
      <c r="AN32" s="426"/>
    </row>
    <row r="33" spans="1:40">
      <c r="A33" s="270"/>
      <c r="C33" s="382" t="s">
        <v>457</v>
      </c>
      <c r="D33" s="388">
        <v>0</v>
      </c>
      <c r="E33" s="389">
        <v>0</v>
      </c>
      <c r="F33" s="389">
        <v>0</v>
      </c>
      <c r="G33" s="389">
        <v>0</v>
      </c>
      <c r="H33" s="389">
        <v>0</v>
      </c>
      <c r="I33" s="389">
        <v>0</v>
      </c>
      <c r="J33" s="389">
        <v>1533229.0417514653</v>
      </c>
      <c r="K33" s="389">
        <v>1701884.2363441268</v>
      </c>
      <c r="L33" s="389">
        <v>1889091.5023419806</v>
      </c>
      <c r="M33" s="389">
        <v>2096891.5675995983</v>
      </c>
      <c r="N33" s="389">
        <v>2327549.6400355543</v>
      </c>
      <c r="O33" s="389">
        <v>2583580.1004394651</v>
      </c>
      <c r="P33" s="389">
        <v>2867773.9114878066</v>
      </c>
      <c r="Q33" s="389">
        <v>0</v>
      </c>
      <c r="R33" s="389">
        <v>0</v>
      </c>
      <c r="S33" s="389">
        <v>0</v>
      </c>
      <c r="T33" s="389">
        <v>0</v>
      </c>
      <c r="U33" s="389">
        <v>0</v>
      </c>
      <c r="V33" s="389">
        <v>0</v>
      </c>
      <c r="W33" s="389">
        <v>0</v>
      </c>
      <c r="X33" s="389">
        <v>0</v>
      </c>
      <c r="Y33" s="389">
        <v>0</v>
      </c>
      <c r="Z33" s="389">
        <v>0</v>
      </c>
      <c r="AA33" s="389">
        <v>0</v>
      </c>
      <c r="AB33" s="389">
        <v>0</v>
      </c>
      <c r="AC33" s="389">
        <v>0</v>
      </c>
      <c r="AD33" s="389">
        <v>0</v>
      </c>
      <c r="AE33" s="389">
        <v>0</v>
      </c>
      <c r="AF33" s="389">
        <v>0</v>
      </c>
      <c r="AG33" s="389">
        <v>0</v>
      </c>
      <c r="AH33" s="389">
        <v>0</v>
      </c>
      <c r="AI33" s="389">
        <v>0</v>
      </c>
      <c r="AJ33" s="389">
        <v>0</v>
      </c>
      <c r="AK33" s="425"/>
      <c r="AN33" s="426"/>
    </row>
    <row r="34" spans="1:40">
      <c r="A34" s="270"/>
      <c r="C34" s="382" t="s">
        <v>458</v>
      </c>
      <c r="D34" s="388">
        <v>0</v>
      </c>
      <c r="E34" s="389">
        <v>0</v>
      </c>
      <c r="F34" s="389">
        <v>0</v>
      </c>
      <c r="G34" s="389">
        <v>0</v>
      </c>
      <c r="H34" s="389">
        <v>0</v>
      </c>
      <c r="I34" s="389">
        <v>766614.52087573265</v>
      </c>
      <c r="J34" s="389">
        <v>850942.11817206338</v>
      </c>
      <c r="K34" s="389">
        <v>944545.75117099029</v>
      </c>
      <c r="L34" s="389">
        <v>1048445.7837997992</v>
      </c>
      <c r="M34" s="389">
        <v>1163774.8200177772</v>
      </c>
      <c r="N34" s="389">
        <v>1291790.0502197326</v>
      </c>
      <c r="O34" s="389">
        <v>1433886.9557439033</v>
      </c>
      <c r="P34" s="389">
        <v>0</v>
      </c>
      <c r="Q34" s="389">
        <v>0</v>
      </c>
      <c r="R34" s="389">
        <v>0</v>
      </c>
      <c r="S34" s="389">
        <v>0</v>
      </c>
      <c r="T34" s="389">
        <v>0</v>
      </c>
      <c r="U34" s="389">
        <v>0</v>
      </c>
      <c r="V34" s="389">
        <v>0</v>
      </c>
      <c r="W34" s="389">
        <v>0</v>
      </c>
      <c r="X34" s="389">
        <v>0</v>
      </c>
      <c r="Y34" s="389">
        <v>0</v>
      </c>
      <c r="Z34" s="389">
        <v>0</v>
      </c>
      <c r="AA34" s="389">
        <v>0</v>
      </c>
      <c r="AB34" s="389">
        <v>0</v>
      </c>
      <c r="AC34" s="389">
        <v>0</v>
      </c>
      <c r="AD34" s="389">
        <v>0</v>
      </c>
      <c r="AE34" s="389">
        <v>0</v>
      </c>
      <c r="AF34" s="389">
        <v>0</v>
      </c>
      <c r="AG34" s="389">
        <v>0</v>
      </c>
      <c r="AH34" s="389">
        <v>0</v>
      </c>
      <c r="AI34" s="389">
        <v>0</v>
      </c>
      <c r="AJ34" s="389">
        <v>0</v>
      </c>
      <c r="AK34" s="425"/>
      <c r="AN34" s="426"/>
    </row>
    <row r="35" spans="1:40">
      <c r="A35" s="270"/>
      <c r="C35" s="382" t="s">
        <v>459</v>
      </c>
      <c r="D35" s="388">
        <v>0</v>
      </c>
      <c r="E35" s="389">
        <v>0</v>
      </c>
      <c r="F35" s="389">
        <v>0</v>
      </c>
      <c r="G35" s="389">
        <v>0</v>
      </c>
      <c r="H35" s="389">
        <v>0</v>
      </c>
      <c r="I35" s="389">
        <v>0</v>
      </c>
      <c r="J35" s="389">
        <v>0</v>
      </c>
      <c r="K35" s="389">
        <v>613291.61670058628</v>
      </c>
      <c r="L35" s="389">
        <v>680753.69453765079</v>
      </c>
      <c r="M35" s="389">
        <v>755636.60093679233</v>
      </c>
      <c r="N35" s="389">
        <v>838756.62703983951</v>
      </c>
      <c r="O35" s="389">
        <v>931019.85601422167</v>
      </c>
      <c r="P35" s="389">
        <v>1033432.0401757861</v>
      </c>
      <c r="Q35" s="389">
        <v>1147109.5645951228</v>
      </c>
      <c r="R35" s="389">
        <v>0</v>
      </c>
      <c r="S35" s="389">
        <v>0</v>
      </c>
      <c r="T35" s="389">
        <v>0</v>
      </c>
      <c r="U35" s="389">
        <v>0</v>
      </c>
      <c r="V35" s="389">
        <v>0</v>
      </c>
      <c r="W35" s="389">
        <v>0</v>
      </c>
      <c r="X35" s="389">
        <v>0</v>
      </c>
      <c r="Y35" s="389">
        <v>0</v>
      </c>
      <c r="Z35" s="389">
        <v>0</v>
      </c>
      <c r="AA35" s="389">
        <v>0</v>
      </c>
      <c r="AB35" s="389">
        <v>0</v>
      </c>
      <c r="AC35" s="389">
        <v>0</v>
      </c>
      <c r="AD35" s="389">
        <v>0</v>
      </c>
      <c r="AE35" s="389">
        <v>0</v>
      </c>
      <c r="AF35" s="389">
        <v>0</v>
      </c>
      <c r="AG35" s="389">
        <v>0</v>
      </c>
      <c r="AH35" s="389">
        <v>0</v>
      </c>
      <c r="AI35" s="389">
        <v>0</v>
      </c>
      <c r="AJ35" s="389">
        <v>0</v>
      </c>
      <c r="AK35" s="425"/>
      <c r="AN35" s="426"/>
    </row>
    <row r="36" spans="1:40">
      <c r="A36" s="270"/>
      <c r="C36" s="382" t="s">
        <v>460</v>
      </c>
      <c r="D36" s="388">
        <v>0</v>
      </c>
      <c r="E36" s="389">
        <v>0</v>
      </c>
      <c r="F36" s="389">
        <v>0</v>
      </c>
      <c r="G36" s="389">
        <v>0</v>
      </c>
      <c r="H36" s="389">
        <v>0</v>
      </c>
      <c r="I36" s="389">
        <v>459968.71252543968</v>
      </c>
      <c r="J36" s="389">
        <v>510565.2709032381</v>
      </c>
      <c r="K36" s="389">
        <v>566727.45070259424</v>
      </c>
      <c r="L36" s="389">
        <v>629067.47027987964</v>
      </c>
      <c r="M36" s="389">
        <v>698264.89201066643</v>
      </c>
      <c r="N36" s="389">
        <v>775074.03013183957</v>
      </c>
      <c r="O36" s="389">
        <v>860332.173446342</v>
      </c>
      <c r="P36" s="389">
        <v>0</v>
      </c>
      <c r="Q36" s="389">
        <v>0</v>
      </c>
      <c r="R36" s="389">
        <v>0</v>
      </c>
      <c r="S36" s="389">
        <v>0</v>
      </c>
      <c r="T36" s="389">
        <v>0</v>
      </c>
      <c r="U36" s="389">
        <v>0</v>
      </c>
      <c r="V36" s="389">
        <v>0</v>
      </c>
      <c r="W36" s="389">
        <v>0</v>
      </c>
      <c r="X36" s="389">
        <v>0</v>
      </c>
      <c r="Y36" s="389">
        <v>0</v>
      </c>
      <c r="Z36" s="389">
        <v>0</v>
      </c>
      <c r="AA36" s="389">
        <v>0</v>
      </c>
      <c r="AB36" s="389">
        <v>0</v>
      </c>
      <c r="AC36" s="389">
        <v>0</v>
      </c>
      <c r="AD36" s="389">
        <v>0</v>
      </c>
      <c r="AE36" s="389">
        <v>0</v>
      </c>
      <c r="AF36" s="389">
        <v>0</v>
      </c>
      <c r="AG36" s="389">
        <v>0</v>
      </c>
      <c r="AH36" s="389">
        <v>0</v>
      </c>
      <c r="AI36" s="389">
        <v>0</v>
      </c>
      <c r="AJ36" s="389">
        <v>0</v>
      </c>
      <c r="AK36" s="425"/>
      <c r="AN36" s="426"/>
    </row>
    <row r="37" spans="1:40">
      <c r="A37" s="270"/>
      <c r="C37" s="382" t="s">
        <v>461</v>
      </c>
      <c r="D37" s="388">
        <v>0</v>
      </c>
      <c r="E37" s="389">
        <v>0</v>
      </c>
      <c r="F37" s="389">
        <v>0</v>
      </c>
      <c r="G37" s="389">
        <v>0</v>
      </c>
      <c r="H37" s="389">
        <v>0</v>
      </c>
      <c r="I37" s="389">
        <v>0</v>
      </c>
      <c r="J37" s="389">
        <v>613291.61670058628</v>
      </c>
      <c r="K37" s="389">
        <v>680753.69453765079</v>
      </c>
      <c r="L37" s="389">
        <v>755636.60093679233</v>
      </c>
      <c r="M37" s="389">
        <v>838756.62703983951</v>
      </c>
      <c r="N37" s="389">
        <v>931019.85601422167</v>
      </c>
      <c r="O37" s="389">
        <v>1033432.0401757861</v>
      </c>
      <c r="P37" s="389">
        <v>1147109.5645951228</v>
      </c>
      <c r="Q37" s="389">
        <v>0</v>
      </c>
      <c r="R37" s="389">
        <v>0</v>
      </c>
      <c r="S37" s="389">
        <v>0</v>
      </c>
      <c r="T37" s="389">
        <v>0</v>
      </c>
      <c r="U37" s="389">
        <v>0</v>
      </c>
      <c r="V37" s="389">
        <v>0</v>
      </c>
      <c r="W37" s="389">
        <v>0</v>
      </c>
      <c r="X37" s="389">
        <v>0</v>
      </c>
      <c r="Y37" s="389">
        <v>0</v>
      </c>
      <c r="Z37" s="389">
        <v>0</v>
      </c>
      <c r="AA37" s="389">
        <v>0</v>
      </c>
      <c r="AB37" s="389">
        <v>0</v>
      </c>
      <c r="AC37" s="389">
        <v>0</v>
      </c>
      <c r="AD37" s="389">
        <v>0</v>
      </c>
      <c r="AE37" s="389">
        <v>0</v>
      </c>
      <c r="AF37" s="389">
        <v>0</v>
      </c>
      <c r="AG37" s="389">
        <v>0</v>
      </c>
      <c r="AH37" s="389">
        <v>0</v>
      </c>
      <c r="AI37" s="389">
        <v>0</v>
      </c>
      <c r="AJ37" s="389">
        <v>0</v>
      </c>
      <c r="AK37" s="425"/>
      <c r="AN37" s="426"/>
    </row>
    <row r="38" spans="1:40">
      <c r="A38" s="270"/>
      <c r="C38" s="382"/>
      <c r="D38" s="388"/>
      <c r="E38" s="389"/>
      <c r="F38" s="389"/>
      <c r="G38" s="389"/>
      <c r="H38" s="389"/>
      <c r="I38" s="389"/>
      <c r="J38" s="389"/>
      <c r="K38" s="389"/>
      <c r="L38" s="389"/>
      <c r="M38" s="389"/>
      <c r="N38" s="389"/>
      <c r="O38" s="389"/>
      <c r="P38" s="389"/>
      <c r="Q38" s="389"/>
      <c r="R38" s="389"/>
      <c r="S38" s="389"/>
      <c r="T38" s="389"/>
      <c r="U38" s="389"/>
      <c r="V38" s="389"/>
      <c r="W38" s="389"/>
      <c r="X38" s="389"/>
      <c r="Y38" s="389"/>
      <c r="Z38" s="389"/>
      <c r="AA38" s="389"/>
      <c r="AB38" s="389"/>
      <c r="AC38" s="389"/>
      <c r="AD38" s="389"/>
      <c r="AE38" s="389"/>
      <c r="AF38" s="389"/>
      <c r="AG38" s="389"/>
      <c r="AH38" s="389"/>
      <c r="AI38" s="389"/>
      <c r="AJ38" s="389"/>
      <c r="AK38" s="425"/>
      <c r="AN38" s="426"/>
    </row>
    <row r="39" spans="1:40">
      <c r="A39" s="270"/>
      <c r="C39" s="382"/>
      <c r="D39" s="388"/>
      <c r="E39" s="389"/>
      <c r="F39" s="389"/>
      <c r="G39" s="389"/>
      <c r="H39" s="389"/>
      <c r="I39" s="389"/>
      <c r="J39" s="389"/>
      <c r="K39" s="389"/>
      <c r="L39" s="389"/>
      <c r="M39" s="389"/>
      <c r="N39" s="389"/>
      <c r="O39" s="389"/>
      <c r="P39" s="389"/>
      <c r="Q39" s="389"/>
      <c r="R39" s="389"/>
      <c r="S39" s="389"/>
      <c r="T39" s="389"/>
      <c r="U39" s="389"/>
      <c r="V39" s="389"/>
      <c r="W39" s="389"/>
      <c r="X39" s="389"/>
      <c r="Y39" s="389"/>
      <c r="Z39" s="389"/>
      <c r="AA39" s="389"/>
      <c r="AB39" s="389"/>
      <c r="AC39" s="389"/>
      <c r="AD39" s="389"/>
      <c r="AE39" s="389"/>
      <c r="AF39" s="389"/>
      <c r="AG39" s="389"/>
      <c r="AH39" s="389"/>
      <c r="AI39" s="389"/>
      <c r="AJ39" s="389"/>
      <c r="AK39" s="425"/>
      <c r="AN39" s="426"/>
    </row>
    <row r="40" spans="1:40">
      <c r="A40" s="270"/>
      <c r="C40" s="382"/>
      <c r="D40" s="388"/>
      <c r="E40" s="389"/>
      <c r="F40" s="389"/>
      <c r="G40" s="389"/>
      <c r="H40" s="389"/>
      <c r="I40" s="389"/>
      <c r="J40" s="389"/>
      <c r="K40" s="389"/>
      <c r="L40" s="389"/>
      <c r="M40" s="389"/>
      <c r="N40" s="389"/>
      <c r="O40" s="389"/>
      <c r="P40" s="389"/>
      <c r="Q40" s="389"/>
      <c r="R40" s="389"/>
      <c r="S40" s="389"/>
      <c r="T40" s="389"/>
      <c r="U40" s="389"/>
      <c r="V40" s="389"/>
      <c r="W40" s="389"/>
      <c r="X40" s="389"/>
      <c r="Y40" s="389"/>
      <c r="Z40" s="389"/>
      <c r="AA40" s="389"/>
      <c r="AB40" s="389"/>
      <c r="AC40" s="389"/>
      <c r="AD40" s="389"/>
      <c r="AE40" s="389"/>
      <c r="AF40" s="389"/>
      <c r="AG40" s="389"/>
      <c r="AH40" s="389"/>
      <c r="AI40" s="389"/>
      <c r="AJ40" s="389"/>
      <c r="AK40" s="425"/>
      <c r="AN40" s="426"/>
    </row>
    <row r="41" spans="1:40">
      <c r="A41" s="270"/>
      <c r="C41" s="382"/>
      <c r="D41" s="388"/>
      <c r="E41" s="389"/>
      <c r="F41" s="389"/>
      <c r="G41" s="389"/>
      <c r="H41" s="389"/>
      <c r="I41" s="389"/>
      <c r="J41" s="389"/>
      <c r="K41" s="389"/>
      <c r="L41" s="389"/>
      <c r="M41" s="389"/>
      <c r="N41" s="389"/>
      <c r="O41" s="389"/>
      <c r="P41" s="389"/>
      <c r="Q41" s="389"/>
      <c r="R41" s="389"/>
      <c r="S41" s="389"/>
      <c r="T41" s="389"/>
      <c r="U41" s="389"/>
      <c r="V41" s="389"/>
      <c r="W41" s="389"/>
      <c r="X41" s="389"/>
      <c r="Y41" s="389"/>
      <c r="Z41" s="389"/>
      <c r="AA41" s="389"/>
      <c r="AB41" s="389"/>
      <c r="AC41" s="389"/>
      <c r="AD41" s="389"/>
      <c r="AE41" s="389"/>
      <c r="AF41" s="389"/>
      <c r="AG41" s="389"/>
      <c r="AH41" s="389"/>
      <c r="AI41" s="389"/>
      <c r="AJ41" s="389"/>
      <c r="AK41" s="425"/>
      <c r="AN41" s="426"/>
    </row>
    <row r="42" spans="1:40" ht="16.5" thickBot="1">
      <c r="A42" s="270"/>
      <c r="C42" s="385" t="s">
        <v>462</v>
      </c>
      <c r="D42" s="273">
        <v>0</v>
      </c>
      <c r="E42" s="274">
        <v>0</v>
      </c>
      <c r="F42" s="274">
        <v>0</v>
      </c>
      <c r="G42" s="274">
        <v>21676991.784489159</v>
      </c>
      <c r="H42" s="274">
        <v>24061460.880782966</v>
      </c>
      <c r="I42" s="274">
        <v>31001262.894573189</v>
      </c>
      <c r="J42" s="274">
        <v>36557922.471428297</v>
      </c>
      <c r="K42" s="274">
        <v>71192585.55998601</v>
      </c>
      <c r="L42" s="274">
        <v>9196778.1870952994</v>
      </c>
      <c r="M42" s="274">
        <v>10208423.787675783</v>
      </c>
      <c r="N42" s="274">
        <v>11331350.404320117</v>
      </c>
      <c r="O42" s="274">
        <v>12577798.948795332</v>
      </c>
      <c r="P42" s="274">
        <v>5048315.5162587157</v>
      </c>
      <c r="Q42" s="274">
        <v>1147109.5645951228</v>
      </c>
      <c r="R42" s="274">
        <v>0</v>
      </c>
      <c r="S42" s="274">
        <v>0</v>
      </c>
      <c r="T42" s="274">
        <v>0</v>
      </c>
      <c r="U42" s="274">
        <v>0</v>
      </c>
      <c r="V42" s="274">
        <v>0</v>
      </c>
      <c r="W42" s="274">
        <v>0</v>
      </c>
      <c r="X42" s="274">
        <v>0</v>
      </c>
      <c r="Y42" s="274">
        <v>0</v>
      </c>
      <c r="Z42" s="274">
        <v>0</v>
      </c>
      <c r="AA42" s="274">
        <v>0</v>
      </c>
      <c r="AB42" s="274">
        <v>0</v>
      </c>
      <c r="AC42" s="274">
        <v>0</v>
      </c>
      <c r="AD42" s="274">
        <v>0</v>
      </c>
      <c r="AE42" s="274">
        <v>0</v>
      </c>
      <c r="AF42" s="274">
        <v>0</v>
      </c>
      <c r="AG42" s="274">
        <v>0</v>
      </c>
      <c r="AH42" s="274">
        <v>0</v>
      </c>
      <c r="AI42" s="274">
        <v>0</v>
      </c>
      <c r="AJ42" s="274">
        <v>0</v>
      </c>
      <c r="AK42" s="275"/>
    </row>
    <row r="43" spans="1:40" ht="3.75" customHeight="1">
      <c r="A43" s="270"/>
      <c r="C43" s="386"/>
      <c r="D43" s="387"/>
      <c r="E43" s="387"/>
      <c r="F43" s="387"/>
      <c r="G43" s="387"/>
      <c r="H43" s="387"/>
      <c r="I43" s="387"/>
      <c r="J43" s="387"/>
      <c r="K43" s="387"/>
      <c r="L43" s="387"/>
      <c r="M43" s="387"/>
      <c r="N43" s="387"/>
      <c r="O43" s="387"/>
      <c r="P43" s="387"/>
      <c r="Q43" s="387"/>
      <c r="R43" s="387"/>
      <c r="S43" s="387"/>
      <c r="T43" s="387"/>
      <c r="U43" s="387"/>
      <c r="V43" s="387"/>
      <c r="W43" s="387"/>
      <c r="X43" s="387"/>
      <c r="Y43" s="387"/>
      <c r="Z43" s="387"/>
      <c r="AA43" s="387"/>
      <c r="AB43" s="387"/>
      <c r="AC43" s="387"/>
      <c r="AD43" s="387"/>
      <c r="AE43" s="387"/>
      <c r="AF43" s="387"/>
      <c r="AG43" s="387"/>
      <c r="AH43" s="387"/>
      <c r="AI43" s="387"/>
      <c r="AJ43" s="387"/>
      <c r="AK43" s="425"/>
      <c r="AN43" s="426"/>
    </row>
    <row r="44" spans="1:40">
      <c r="A44" s="270"/>
      <c r="C44" s="391" t="s">
        <v>517</v>
      </c>
      <c r="D44" s="392">
        <v>0</v>
      </c>
      <c r="E44" s="393">
        <v>0</v>
      </c>
      <c r="F44" s="393">
        <v>0</v>
      </c>
      <c r="G44" s="393">
        <v>18150000</v>
      </c>
      <c r="H44" s="393">
        <v>15765530.903706193</v>
      </c>
      <c r="I44" s="393">
        <v>13118770.206820065</v>
      </c>
      <c r="J44" s="393">
        <v>10180865.833276466</v>
      </c>
      <c r="K44" s="393">
        <v>6919791.978643069</v>
      </c>
      <c r="L44" s="393">
        <v>0</v>
      </c>
      <c r="M44" s="393">
        <v>0</v>
      </c>
      <c r="N44" s="393">
        <v>0</v>
      </c>
      <c r="O44" s="393">
        <v>0</v>
      </c>
      <c r="P44" s="393">
        <v>0</v>
      </c>
      <c r="Q44" s="393">
        <v>0</v>
      </c>
      <c r="R44" s="393">
        <v>0</v>
      </c>
      <c r="S44" s="393">
        <v>0</v>
      </c>
      <c r="T44" s="393">
        <v>0</v>
      </c>
      <c r="U44" s="393">
        <v>0</v>
      </c>
      <c r="V44" s="393">
        <v>0</v>
      </c>
      <c r="W44" s="393">
        <v>0</v>
      </c>
      <c r="X44" s="393">
        <v>0</v>
      </c>
      <c r="Y44" s="393">
        <v>0</v>
      </c>
      <c r="Z44" s="393">
        <v>0</v>
      </c>
      <c r="AA44" s="393">
        <v>0</v>
      </c>
      <c r="AB44" s="393">
        <v>0</v>
      </c>
      <c r="AC44" s="393">
        <v>0</v>
      </c>
      <c r="AD44" s="393">
        <v>0</v>
      </c>
      <c r="AE44" s="393">
        <v>0</v>
      </c>
      <c r="AF44" s="393">
        <v>0</v>
      </c>
      <c r="AG44" s="393">
        <v>0</v>
      </c>
      <c r="AH44" s="393">
        <v>0</v>
      </c>
      <c r="AI44" s="393">
        <v>0</v>
      </c>
      <c r="AJ44" s="393">
        <v>0</v>
      </c>
      <c r="AK44" s="425"/>
      <c r="AN44" s="426"/>
    </row>
    <row r="45" spans="1:40">
      <c r="A45" s="270"/>
      <c r="C45" s="382" t="s">
        <v>463</v>
      </c>
      <c r="D45" s="388">
        <v>0</v>
      </c>
      <c r="E45" s="389">
        <v>0</v>
      </c>
      <c r="F45" s="389">
        <v>0</v>
      </c>
      <c r="G45" s="389">
        <v>0</v>
      </c>
      <c r="H45" s="389">
        <v>0</v>
      </c>
      <c r="I45" s="389">
        <v>3300000</v>
      </c>
      <c r="J45" s="389">
        <v>2962689.6108146776</v>
      </c>
      <c r="K45" s="389">
        <v>2588275.078818969</v>
      </c>
      <c r="L45" s="389">
        <v>2172674.9483037335</v>
      </c>
      <c r="M45" s="389">
        <v>1711358.8034318215</v>
      </c>
      <c r="N45" s="389">
        <v>1199297.8826239998</v>
      </c>
      <c r="O45" s="389">
        <v>630910.2605273173</v>
      </c>
      <c r="P45" s="389">
        <v>0</v>
      </c>
      <c r="Q45" s="389">
        <v>0</v>
      </c>
      <c r="R45" s="389">
        <v>0</v>
      </c>
      <c r="S45" s="389">
        <v>0</v>
      </c>
      <c r="T45" s="389">
        <v>0</v>
      </c>
      <c r="U45" s="389">
        <v>0</v>
      </c>
      <c r="V45" s="389">
        <v>0</v>
      </c>
      <c r="W45" s="389">
        <v>0</v>
      </c>
      <c r="X45" s="389">
        <v>0</v>
      </c>
      <c r="Y45" s="389">
        <v>0</v>
      </c>
      <c r="Z45" s="389">
        <v>0</v>
      </c>
      <c r="AA45" s="389">
        <v>0</v>
      </c>
      <c r="AB45" s="389">
        <v>0</v>
      </c>
      <c r="AC45" s="389">
        <v>0</v>
      </c>
      <c r="AD45" s="389">
        <v>0</v>
      </c>
      <c r="AE45" s="389">
        <v>0</v>
      </c>
      <c r="AF45" s="389">
        <v>0</v>
      </c>
      <c r="AG45" s="389">
        <v>0</v>
      </c>
      <c r="AH45" s="389">
        <v>0</v>
      </c>
      <c r="AI45" s="389">
        <v>0</v>
      </c>
      <c r="AJ45" s="389">
        <v>0</v>
      </c>
      <c r="AK45" s="425"/>
      <c r="AN45" s="426"/>
    </row>
    <row r="46" spans="1:40">
      <c r="A46" s="270"/>
      <c r="C46" s="382" t="s">
        <v>464</v>
      </c>
      <c r="D46" s="388">
        <v>0</v>
      </c>
      <c r="E46" s="389">
        <v>0</v>
      </c>
      <c r="F46" s="389">
        <v>0</v>
      </c>
      <c r="G46" s="389">
        <v>0</v>
      </c>
      <c r="H46" s="389">
        <v>0</v>
      </c>
      <c r="I46" s="389">
        <v>0</v>
      </c>
      <c r="J46" s="389">
        <v>1650000</v>
      </c>
      <c r="K46" s="389">
        <v>1481344.8054073388</v>
      </c>
      <c r="L46" s="389">
        <v>1294137.5394094845</v>
      </c>
      <c r="M46" s="389">
        <v>1086337.4741518667</v>
      </c>
      <c r="N46" s="389">
        <v>855679.40171591076</v>
      </c>
      <c r="O46" s="389">
        <v>599648.94131199992</v>
      </c>
      <c r="P46" s="389">
        <v>315455.13026365865</v>
      </c>
      <c r="Q46" s="389">
        <v>0</v>
      </c>
      <c r="R46" s="389">
        <v>0</v>
      </c>
      <c r="S46" s="389">
        <v>0</v>
      </c>
      <c r="T46" s="389">
        <v>0</v>
      </c>
      <c r="U46" s="389">
        <v>0</v>
      </c>
      <c r="V46" s="389">
        <v>0</v>
      </c>
      <c r="W46" s="389">
        <v>0</v>
      </c>
      <c r="X46" s="389">
        <v>0</v>
      </c>
      <c r="Y46" s="389">
        <v>0</v>
      </c>
      <c r="Z46" s="389">
        <v>0</v>
      </c>
      <c r="AA46" s="389">
        <v>0</v>
      </c>
      <c r="AB46" s="389">
        <v>0</v>
      </c>
      <c r="AC46" s="389">
        <v>0</v>
      </c>
      <c r="AD46" s="389">
        <v>0</v>
      </c>
      <c r="AE46" s="389">
        <v>0</v>
      </c>
      <c r="AF46" s="389">
        <v>0</v>
      </c>
      <c r="AG46" s="389">
        <v>0</v>
      </c>
      <c r="AH46" s="389">
        <v>0</v>
      </c>
      <c r="AI46" s="389">
        <v>0</v>
      </c>
      <c r="AJ46" s="389">
        <v>0</v>
      </c>
      <c r="AK46" s="425"/>
      <c r="AN46" s="426"/>
    </row>
    <row r="47" spans="1:40">
      <c r="A47" s="270"/>
      <c r="C47" s="382" t="s">
        <v>465</v>
      </c>
      <c r="D47" s="388">
        <v>0</v>
      </c>
      <c r="E47" s="389">
        <v>0</v>
      </c>
      <c r="F47" s="389">
        <v>0</v>
      </c>
      <c r="G47" s="389">
        <v>0</v>
      </c>
      <c r="H47" s="389">
        <v>0</v>
      </c>
      <c r="I47" s="389">
        <v>825000</v>
      </c>
      <c r="J47" s="389">
        <v>740672.40270366939</v>
      </c>
      <c r="K47" s="389">
        <v>647068.76970474224</v>
      </c>
      <c r="L47" s="389">
        <v>543168.73707593337</v>
      </c>
      <c r="M47" s="389">
        <v>427839.70085795538</v>
      </c>
      <c r="N47" s="389">
        <v>299824.47065599996</v>
      </c>
      <c r="O47" s="389">
        <v>157727.56513182932</v>
      </c>
      <c r="P47" s="389">
        <v>0</v>
      </c>
      <c r="Q47" s="389">
        <v>0</v>
      </c>
      <c r="R47" s="389">
        <v>0</v>
      </c>
      <c r="S47" s="389">
        <v>0</v>
      </c>
      <c r="T47" s="389">
        <v>0</v>
      </c>
      <c r="U47" s="389">
        <v>0</v>
      </c>
      <c r="V47" s="389">
        <v>0</v>
      </c>
      <c r="W47" s="389">
        <v>0</v>
      </c>
      <c r="X47" s="389">
        <v>0</v>
      </c>
      <c r="Y47" s="389">
        <v>0</v>
      </c>
      <c r="Z47" s="389">
        <v>0</v>
      </c>
      <c r="AA47" s="389">
        <v>0</v>
      </c>
      <c r="AB47" s="389">
        <v>0</v>
      </c>
      <c r="AC47" s="389">
        <v>0</v>
      </c>
      <c r="AD47" s="389">
        <v>0</v>
      </c>
      <c r="AE47" s="389">
        <v>0</v>
      </c>
      <c r="AF47" s="389">
        <v>0</v>
      </c>
      <c r="AG47" s="389">
        <v>0</v>
      </c>
      <c r="AH47" s="389">
        <v>0</v>
      </c>
      <c r="AI47" s="389">
        <v>0</v>
      </c>
      <c r="AJ47" s="389">
        <v>0</v>
      </c>
      <c r="AK47" s="425"/>
      <c r="AN47" s="426"/>
    </row>
    <row r="48" spans="1:40">
      <c r="A48" s="270"/>
      <c r="C48" s="382" t="s">
        <v>466</v>
      </c>
      <c r="D48" s="388">
        <v>0</v>
      </c>
      <c r="E48" s="389">
        <v>0</v>
      </c>
      <c r="F48" s="389">
        <v>0</v>
      </c>
      <c r="G48" s="389">
        <v>0</v>
      </c>
      <c r="H48" s="389">
        <v>0</v>
      </c>
      <c r="I48" s="389">
        <v>0</v>
      </c>
      <c r="J48" s="389">
        <v>0</v>
      </c>
      <c r="K48" s="389">
        <v>660000</v>
      </c>
      <c r="L48" s="389">
        <v>592537.9221629356</v>
      </c>
      <c r="M48" s="389">
        <v>517655.01576379384</v>
      </c>
      <c r="N48" s="389">
        <v>434534.98966074671</v>
      </c>
      <c r="O48" s="389">
        <v>342271.76068636437</v>
      </c>
      <c r="P48" s="389">
        <v>239859.57652480001</v>
      </c>
      <c r="Q48" s="389">
        <v>126182.05210546349</v>
      </c>
      <c r="R48" s="389">
        <v>0</v>
      </c>
      <c r="S48" s="389">
        <v>0</v>
      </c>
      <c r="T48" s="389">
        <v>0</v>
      </c>
      <c r="U48" s="389">
        <v>0</v>
      </c>
      <c r="V48" s="389">
        <v>0</v>
      </c>
      <c r="W48" s="389">
        <v>0</v>
      </c>
      <c r="X48" s="389">
        <v>0</v>
      </c>
      <c r="Y48" s="389">
        <v>0</v>
      </c>
      <c r="Z48" s="389">
        <v>0</v>
      </c>
      <c r="AA48" s="389">
        <v>0</v>
      </c>
      <c r="AB48" s="389">
        <v>0</v>
      </c>
      <c r="AC48" s="389">
        <v>0</v>
      </c>
      <c r="AD48" s="389">
        <v>0</v>
      </c>
      <c r="AE48" s="389">
        <v>0</v>
      </c>
      <c r="AF48" s="389">
        <v>0</v>
      </c>
      <c r="AG48" s="389">
        <v>0</v>
      </c>
      <c r="AH48" s="389">
        <v>0</v>
      </c>
      <c r="AI48" s="389">
        <v>0</v>
      </c>
      <c r="AJ48" s="389">
        <v>0</v>
      </c>
      <c r="AK48" s="425"/>
      <c r="AN48" s="426"/>
    </row>
    <row r="49" spans="1:41">
      <c r="A49" s="270"/>
      <c r="C49" s="382" t="s">
        <v>467</v>
      </c>
      <c r="D49" s="388">
        <v>0</v>
      </c>
      <c r="E49" s="389">
        <v>0</v>
      </c>
      <c r="F49" s="389">
        <v>0</v>
      </c>
      <c r="G49" s="389">
        <v>0</v>
      </c>
      <c r="H49" s="389">
        <v>0</v>
      </c>
      <c r="I49" s="389">
        <v>495000</v>
      </c>
      <c r="J49" s="389">
        <v>444403.44162220159</v>
      </c>
      <c r="K49" s="389">
        <v>388241.26182284544</v>
      </c>
      <c r="L49" s="389">
        <v>325901.24224555999</v>
      </c>
      <c r="M49" s="389">
        <v>256703.82051477328</v>
      </c>
      <c r="N49" s="389">
        <v>179894.6823936</v>
      </c>
      <c r="O49" s="389">
        <v>94636.539079097609</v>
      </c>
      <c r="P49" s="389">
        <v>0</v>
      </c>
      <c r="Q49" s="389">
        <v>0</v>
      </c>
      <c r="R49" s="389">
        <v>0</v>
      </c>
      <c r="S49" s="389">
        <v>0</v>
      </c>
      <c r="T49" s="389">
        <v>0</v>
      </c>
      <c r="U49" s="389">
        <v>0</v>
      </c>
      <c r="V49" s="389">
        <v>0</v>
      </c>
      <c r="W49" s="389">
        <v>0</v>
      </c>
      <c r="X49" s="389">
        <v>0</v>
      </c>
      <c r="Y49" s="389">
        <v>0</v>
      </c>
      <c r="Z49" s="389">
        <v>0</v>
      </c>
      <c r="AA49" s="389">
        <v>0</v>
      </c>
      <c r="AB49" s="389">
        <v>0</v>
      </c>
      <c r="AC49" s="389">
        <v>0</v>
      </c>
      <c r="AD49" s="389">
        <v>0</v>
      </c>
      <c r="AE49" s="389">
        <v>0</v>
      </c>
      <c r="AF49" s="389">
        <v>0</v>
      </c>
      <c r="AG49" s="389">
        <v>0</v>
      </c>
      <c r="AH49" s="389">
        <v>0</v>
      </c>
      <c r="AI49" s="389">
        <v>0</v>
      </c>
      <c r="AJ49" s="389">
        <v>0</v>
      </c>
      <c r="AK49" s="425"/>
      <c r="AN49" s="426"/>
    </row>
    <row r="50" spans="1:41">
      <c r="A50" s="270"/>
      <c r="C50" s="382" t="s">
        <v>468</v>
      </c>
      <c r="D50" s="388">
        <v>0</v>
      </c>
      <c r="E50" s="389">
        <v>0</v>
      </c>
      <c r="F50" s="389">
        <v>0</v>
      </c>
      <c r="G50" s="389">
        <v>0</v>
      </c>
      <c r="H50" s="389">
        <v>0</v>
      </c>
      <c r="I50" s="389">
        <v>0</v>
      </c>
      <c r="J50" s="389">
        <v>660000</v>
      </c>
      <c r="K50" s="389">
        <v>592537.9221629356</v>
      </c>
      <c r="L50" s="389">
        <v>517655.01576379384</v>
      </c>
      <c r="M50" s="389">
        <v>434534.98966074671</v>
      </c>
      <c r="N50" s="389">
        <v>342271.76068636437</v>
      </c>
      <c r="O50" s="389">
        <v>239859.57652480001</v>
      </c>
      <c r="P50" s="389">
        <v>126182.05210546349</v>
      </c>
      <c r="Q50" s="389">
        <v>0</v>
      </c>
      <c r="R50" s="389">
        <v>0</v>
      </c>
      <c r="S50" s="389">
        <v>0</v>
      </c>
      <c r="T50" s="389">
        <v>0</v>
      </c>
      <c r="U50" s="389">
        <v>0</v>
      </c>
      <c r="V50" s="389">
        <v>0</v>
      </c>
      <c r="W50" s="389">
        <v>0</v>
      </c>
      <c r="X50" s="389">
        <v>0</v>
      </c>
      <c r="Y50" s="389">
        <v>0</v>
      </c>
      <c r="Z50" s="389">
        <v>0</v>
      </c>
      <c r="AA50" s="389">
        <v>0</v>
      </c>
      <c r="AB50" s="389">
        <v>0</v>
      </c>
      <c r="AC50" s="389">
        <v>0</v>
      </c>
      <c r="AD50" s="389">
        <v>0</v>
      </c>
      <c r="AE50" s="389">
        <v>0</v>
      </c>
      <c r="AF50" s="389">
        <v>0</v>
      </c>
      <c r="AG50" s="389">
        <v>0</v>
      </c>
      <c r="AH50" s="389">
        <v>0</v>
      </c>
      <c r="AI50" s="389">
        <v>0</v>
      </c>
      <c r="AJ50" s="389">
        <v>0</v>
      </c>
      <c r="AK50" s="425"/>
      <c r="AN50" s="426"/>
    </row>
    <row r="51" spans="1:41">
      <c r="A51" s="270"/>
      <c r="C51" s="382" t="s">
        <v>469</v>
      </c>
      <c r="D51" s="388">
        <v>0</v>
      </c>
      <c r="E51" s="388">
        <v>3493733.7601210894</v>
      </c>
      <c r="F51" s="388">
        <v>9608583.6000756808</v>
      </c>
      <c r="G51" s="389"/>
      <c r="H51" s="389"/>
      <c r="I51" s="389"/>
      <c r="J51" s="389"/>
      <c r="K51" s="389"/>
      <c r="L51" s="389"/>
      <c r="M51" s="389"/>
      <c r="N51" s="389"/>
      <c r="O51" s="389"/>
      <c r="P51" s="389"/>
      <c r="Q51" s="389"/>
      <c r="R51" s="389"/>
      <c r="S51" s="389"/>
      <c r="T51" s="389"/>
      <c r="U51" s="389"/>
      <c r="V51" s="389"/>
      <c r="W51" s="389"/>
      <c r="X51" s="389"/>
      <c r="Y51" s="389"/>
      <c r="Z51" s="389"/>
      <c r="AA51" s="389"/>
      <c r="AB51" s="389"/>
      <c r="AC51" s="389"/>
      <c r="AD51" s="389"/>
      <c r="AE51" s="389"/>
      <c r="AF51" s="389"/>
      <c r="AG51" s="389"/>
      <c r="AH51" s="389"/>
      <c r="AI51" s="389"/>
      <c r="AJ51" s="389"/>
      <c r="AK51" s="425"/>
      <c r="AN51" s="426"/>
    </row>
    <row r="52" spans="1:41">
      <c r="A52" s="270"/>
      <c r="C52" s="382" t="s">
        <v>470</v>
      </c>
      <c r="D52" s="388">
        <v>0</v>
      </c>
      <c r="E52" s="389">
        <v>1240000</v>
      </c>
      <c r="F52" s="389">
        <v>0</v>
      </c>
      <c r="G52" s="389">
        <v>0</v>
      </c>
      <c r="H52" s="389">
        <v>0</v>
      </c>
      <c r="I52" s="389">
        <v>0</v>
      </c>
      <c r="J52" s="389">
        <v>0</v>
      </c>
      <c r="K52" s="389">
        <v>0</v>
      </c>
      <c r="L52" s="389">
        <v>0</v>
      </c>
      <c r="M52" s="389">
        <v>0</v>
      </c>
      <c r="N52" s="389">
        <v>0</v>
      </c>
      <c r="O52" s="389">
        <v>0</v>
      </c>
      <c r="P52" s="389">
        <v>0</v>
      </c>
      <c r="Q52" s="389">
        <v>0</v>
      </c>
      <c r="R52" s="389">
        <v>0</v>
      </c>
      <c r="S52" s="389">
        <v>0</v>
      </c>
      <c r="T52" s="389">
        <v>0</v>
      </c>
      <c r="U52" s="389">
        <v>0</v>
      </c>
      <c r="V52" s="389">
        <v>0</v>
      </c>
      <c r="W52" s="389">
        <v>0</v>
      </c>
      <c r="X52" s="389">
        <v>0</v>
      </c>
      <c r="Y52" s="389">
        <v>0</v>
      </c>
      <c r="Z52" s="389">
        <v>0</v>
      </c>
      <c r="AA52" s="389">
        <v>0</v>
      </c>
      <c r="AB52" s="389">
        <v>0</v>
      </c>
      <c r="AC52" s="389">
        <v>0</v>
      </c>
      <c r="AD52" s="389">
        <v>0</v>
      </c>
      <c r="AE52" s="389">
        <v>0</v>
      </c>
      <c r="AF52" s="389">
        <v>0</v>
      </c>
      <c r="AG52" s="389">
        <v>0</v>
      </c>
      <c r="AH52" s="389">
        <v>0</v>
      </c>
      <c r="AI52" s="389">
        <v>0</v>
      </c>
      <c r="AJ52" s="389">
        <v>0</v>
      </c>
      <c r="AK52" s="425"/>
      <c r="AN52" s="426"/>
    </row>
    <row r="53" spans="1:41">
      <c r="A53" s="270"/>
      <c r="C53" s="382" t="s">
        <v>471</v>
      </c>
      <c r="D53" s="388">
        <v>0</v>
      </c>
      <c r="E53" s="389">
        <v>0</v>
      </c>
      <c r="F53" s="389">
        <v>2000000</v>
      </c>
      <c r="G53" s="389">
        <v>0</v>
      </c>
      <c r="H53" s="389">
        <v>0</v>
      </c>
      <c r="I53" s="389">
        <v>0</v>
      </c>
      <c r="J53" s="389">
        <v>0</v>
      </c>
      <c r="K53" s="389">
        <v>0</v>
      </c>
      <c r="L53" s="389">
        <v>0</v>
      </c>
      <c r="M53" s="389">
        <v>0</v>
      </c>
      <c r="N53" s="389">
        <v>0</v>
      </c>
      <c r="O53" s="389">
        <v>0</v>
      </c>
      <c r="P53" s="389">
        <v>0</v>
      </c>
      <c r="Q53" s="389">
        <v>0</v>
      </c>
      <c r="R53" s="389">
        <v>0</v>
      </c>
      <c r="S53" s="389">
        <v>0</v>
      </c>
      <c r="T53" s="389">
        <v>0</v>
      </c>
      <c r="U53" s="389">
        <v>0</v>
      </c>
      <c r="V53" s="389">
        <v>0</v>
      </c>
      <c r="W53" s="389">
        <v>0</v>
      </c>
      <c r="X53" s="389">
        <v>0</v>
      </c>
      <c r="Y53" s="389">
        <v>0</v>
      </c>
      <c r="Z53" s="389">
        <v>0</v>
      </c>
      <c r="AA53" s="389">
        <v>0</v>
      </c>
      <c r="AB53" s="389">
        <v>0</v>
      </c>
      <c r="AC53" s="389">
        <v>0</v>
      </c>
      <c r="AD53" s="389">
        <v>0</v>
      </c>
      <c r="AE53" s="389">
        <v>0</v>
      </c>
      <c r="AF53" s="389">
        <v>0</v>
      </c>
      <c r="AG53" s="389">
        <v>0</v>
      </c>
      <c r="AH53" s="389">
        <v>0</v>
      </c>
      <c r="AI53" s="389">
        <v>0</v>
      </c>
      <c r="AJ53" s="389">
        <v>0</v>
      </c>
      <c r="AK53" s="425"/>
      <c r="AN53" s="426"/>
    </row>
    <row r="54" spans="1:41">
      <c r="A54" s="270"/>
      <c r="C54" s="382" t="s">
        <v>472</v>
      </c>
      <c r="D54" s="388">
        <v>0</v>
      </c>
      <c r="E54" s="389">
        <v>0</v>
      </c>
      <c r="F54" s="389">
        <v>0</v>
      </c>
      <c r="G54" s="389">
        <v>1000000</v>
      </c>
      <c r="H54" s="389">
        <v>0</v>
      </c>
      <c r="I54" s="389">
        <v>0</v>
      </c>
      <c r="J54" s="389">
        <v>0</v>
      </c>
      <c r="K54" s="389">
        <v>0</v>
      </c>
      <c r="L54" s="389">
        <v>0</v>
      </c>
      <c r="M54" s="389">
        <v>0</v>
      </c>
      <c r="N54" s="389">
        <v>0</v>
      </c>
      <c r="O54" s="389">
        <v>0</v>
      </c>
      <c r="P54" s="389">
        <v>0</v>
      </c>
      <c r="Q54" s="389">
        <v>0</v>
      </c>
      <c r="R54" s="389">
        <v>0</v>
      </c>
      <c r="S54" s="389">
        <v>0</v>
      </c>
      <c r="T54" s="389">
        <v>0</v>
      </c>
      <c r="U54" s="389">
        <v>0</v>
      </c>
      <c r="V54" s="389">
        <v>0</v>
      </c>
      <c r="W54" s="389">
        <v>0</v>
      </c>
      <c r="X54" s="389">
        <v>0</v>
      </c>
      <c r="Y54" s="389">
        <v>0</v>
      </c>
      <c r="Z54" s="389">
        <v>0</v>
      </c>
      <c r="AA54" s="389">
        <v>0</v>
      </c>
      <c r="AB54" s="389">
        <v>0</v>
      </c>
      <c r="AC54" s="389">
        <v>0</v>
      </c>
      <c r="AD54" s="389">
        <v>0</v>
      </c>
      <c r="AE54" s="389">
        <v>0</v>
      </c>
      <c r="AF54" s="389">
        <v>0</v>
      </c>
      <c r="AG54" s="389">
        <v>0</v>
      </c>
      <c r="AH54" s="389">
        <v>0</v>
      </c>
      <c r="AI54" s="389">
        <v>0</v>
      </c>
      <c r="AJ54" s="389">
        <v>0</v>
      </c>
      <c r="AK54" s="425"/>
      <c r="AN54" s="426"/>
    </row>
    <row r="55" spans="1:41">
      <c r="A55" s="270"/>
      <c r="C55" s="382"/>
      <c r="D55" s="388"/>
      <c r="E55" s="389"/>
      <c r="F55" s="389"/>
      <c r="G55" s="389"/>
      <c r="H55" s="389"/>
      <c r="I55" s="389"/>
      <c r="J55" s="389"/>
      <c r="K55" s="389"/>
      <c r="L55" s="389"/>
      <c r="M55" s="389"/>
      <c r="N55" s="389"/>
      <c r="O55" s="389"/>
      <c r="P55" s="389"/>
      <c r="Q55" s="389"/>
      <c r="R55" s="389"/>
      <c r="S55" s="389"/>
      <c r="T55" s="389"/>
      <c r="U55" s="389"/>
      <c r="V55" s="389"/>
      <c r="W55" s="389"/>
      <c r="X55" s="389"/>
      <c r="Y55" s="389"/>
      <c r="Z55" s="389"/>
      <c r="AA55" s="389"/>
      <c r="AB55" s="389"/>
      <c r="AC55" s="389"/>
      <c r="AD55" s="389"/>
      <c r="AE55" s="389"/>
      <c r="AF55" s="389"/>
      <c r="AG55" s="389"/>
      <c r="AH55" s="389"/>
      <c r="AI55" s="389"/>
      <c r="AJ55" s="389"/>
      <c r="AK55" s="425"/>
      <c r="AN55" s="426"/>
    </row>
    <row r="56" spans="1:41">
      <c r="A56" s="270"/>
      <c r="C56" s="382"/>
      <c r="D56" s="388"/>
      <c r="E56" s="389"/>
      <c r="F56" s="389"/>
      <c r="G56" s="389"/>
      <c r="H56" s="389"/>
      <c r="I56" s="389"/>
      <c r="J56" s="389"/>
      <c r="K56" s="389"/>
      <c r="L56" s="389"/>
      <c r="M56" s="389"/>
      <c r="N56" s="389"/>
      <c r="O56" s="389"/>
      <c r="P56" s="389"/>
      <c r="Q56" s="389"/>
      <c r="R56" s="389"/>
      <c r="S56" s="389"/>
      <c r="T56" s="389"/>
      <c r="U56" s="389"/>
      <c r="V56" s="389"/>
      <c r="W56" s="389"/>
      <c r="X56" s="389"/>
      <c r="Y56" s="389"/>
      <c r="Z56" s="389"/>
      <c r="AA56" s="389"/>
      <c r="AB56" s="389"/>
      <c r="AC56" s="389"/>
      <c r="AD56" s="389"/>
      <c r="AE56" s="389"/>
      <c r="AF56" s="389"/>
      <c r="AG56" s="389"/>
      <c r="AH56" s="389"/>
      <c r="AI56" s="389"/>
      <c r="AJ56" s="389"/>
      <c r="AK56" s="425"/>
      <c r="AN56" s="426"/>
    </row>
    <row r="57" spans="1:41">
      <c r="A57" s="270"/>
      <c r="C57" s="382"/>
      <c r="D57" s="383"/>
      <c r="E57" s="384"/>
      <c r="F57" s="384"/>
      <c r="G57" s="384"/>
      <c r="H57" s="384"/>
      <c r="I57" s="384"/>
      <c r="J57" s="384"/>
      <c r="K57" s="384"/>
      <c r="L57" s="384"/>
      <c r="M57" s="384"/>
      <c r="N57" s="384"/>
      <c r="O57" s="384"/>
      <c r="P57" s="384"/>
      <c r="Q57" s="384"/>
      <c r="R57" s="384"/>
      <c r="S57" s="384"/>
      <c r="T57" s="384"/>
      <c r="U57" s="384"/>
      <c r="V57" s="384"/>
      <c r="W57" s="384"/>
      <c r="X57" s="384"/>
      <c r="Y57" s="384"/>
      <c r="Z57" s="384"/>
      <c r="AA57" s="384"/>
      <c r="AB57" s="384"/>
      <c r="AC57" s="384"/>
      <c r="AD57" s="384"/>
      <c r="AE57" s="384"/>
      <c r="AF57" s="384"/>
      <c r="AG57" s="384"/>
      <c r="AH57" s="384"/>
      <c r="AI57" s="384"/>
      <c r="AJ57" s="384"/>
      <c r="AK57" s="424"/>
      <c r="AN57" s="426"/>
    </row>
    <row r="58" spans="1:41">
      <c r="A58" s="270"/>
      <c r="C58" s="382"/>
      <c r="D58" s="383"/>
      <c r="E58" s="384"/>
      <c r="F58" s="384"/>
      <c r="G58" s="384"/>
      <c r="H58" s="384"/>
      <c r="I58" s="384"/>
      <c r="J58" s="384"/>
      <c r="K58" s="384"/>
      <c r="L58" s="384"/>
      <c r="M58" s="384"/>
      <c r="N58" s="384"/>
      <c r="O58" s="384"/>
      <c r="P58" s="384"/>
      <c r="Q58" s="384"/>
      <c r="R58" s="384"/>
      <c r="S58" s="384"/>
      <c r="T58" s="384"/>
      <c r="U58" s="384"/>
      <c r="V58" s="384"/>
      <c r="W58" s="384"/>
      <c r="X58" s="384"/>
      <c r="Y58" s="384"/>
      <c r="Z58" s="384"/>
      <c r="AA58" s="384"/>
      <c r="AB58" s="384"/>
      <c r="AC58" s="384"/>
      <c r="AD58" s="384"/>
      <c r="AE58" s="384"/>
      <c r="AF58" s="384"/>
      <c r="AG58" s="384"/>
      <c r="AH58" s="384"/>
      <c r="AI58" s="384"/>
      <c r="AJ58" s="384"/>
      <c r="AK58" s="424"/>
      <c r="AN58" s="426"/>
      <c r="AO58" s="426"/>
    </row>
    <row r="59" spans="1:41" ht="16.5" thickBot="1">
      <c r="A59" s="270"/>
      <c r="C59" s="385" t="s">
        <v>473</v>
      </c>
      <c r="D59" s="273">
        <v>0</v>
      </c>
      <c r="E59" s="274">
        <v>4733733.7601210894</v>
      </c>
      <c r="F59" s="274">
        <v>11608583.600075681</v>
      </c>
      <c r="G59" s="274">
        <v>19150000</v>
      </c>
      <c r="H59" s="274">
        <v>15765530.903706193</v>
      </c>
      <c r="I59" s="274">
        <v>17738770.206820063</v>
      </c>
      <c r="J59" s="274">
        <v>16638631.288417013</v>
      </c>
      <c r="K59" s="274">
        <v>13277259.816559901</v>
      </c>
      <c r="L59" s="274">
        <v>5446075.4049614407</v>
      </c>
      <c r="M59" s="274">
        <v>4434429.804380958</v>
      </c>
      <c r="N59" s="274">
        <v>3311503.1877366216</v>
      </c>
      <c r="O59" s="274">
        <v>2065054.6432614082</v>
      </c>
      <c r="P59" s="274">
        <v>681496.75889392209</v>
      </c>
      <c r="Q59" s="274">
        <v>126182.05210546349</v>
      </c>
      <c r="R59" s="274">
        <v>0</v>
      </c>
      <c r="S59" s="274">
        <v>0</v>
      </c>
      <c r="T59" s="274">
        <v>0</v>
      </c>
      <c r="U59" s="274">
        <v>0</v>
      </c>
      <c r="V59" s="274">
        <v>0</v>
      </c>
      <c r="W59" s="274">
        <v>0</v>
      </c>
      <c r="X59" s="274">
        <v>0</v>
      </c>
      <c r="Y59" s="274">
        <v>0</v>
      </c>
      <c r="Z59" s="274">
        <v>0</v>
      </c>
      <c r="AA59" s="274">
        <v>0</v>
      </c>
      <c r="AB59" s="274">
        <v>0</v>
      </c>
      <c r="AC59" s="274">
        <v>0</v>
      </c>
      <c r="AD59" s="274">
        <v>0</v>
      </c>
      <c r="AE59" s="274">
        <v>0</v>
      </c>
      <c r="AF59" s="274">
        <v>0</v>
      </c>
      <c r="AG59" s="274">
        <v>0</v>
      </c>
      <c r="AH59" s="274">
        <v>0</v>
      </c>
      <c r="AI59" s="274">
        <v>0</v>
      </c>
      <c r="AJ59" s="274">
        <v>0</v>
      </c>
      <c r="AK59" s="275"/>
    </row>
    <row r="60" spans="1:41" ht="3.75" customHeight="1">
      <c r="A60" s="270"/>
    </row>
    <row r="61" spans="1:41">
      <c r="A61" s="270"/>
      <c r="C61" s="391" t="s">
        <v>499</v>
      </c>
      <c r="D61" s="392"/>
      <c r="E61" s="393"/>
      <c r="F61" s="393"/>
      <c r="G61" s="393"/>
      <c r="H61" s="393"/>
      <c r="I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c r="AI61" s="393"/>
      <c r="AJ61" s="393"/>
      <c r="AK61" s="425"/>
      <c r="AN61" s="426"/>
    </row>
    <row r="62" spans="1:41">
      <c r="A62" s="270"/>
      <c r="C62" s="382" t="s">
        <v>500</v>
      </c>
      <c r="D62" s="388">
        <v>0</v>
      </c>
      <c r="E62" s="389">
        <v>29114448.001009081</v>
      </c>
      <c r="F62" s="389">
        <v>80071530.000630677</v>
      </c>
      <c r="G62" s="389">
        <v>143323008.21551085</v>
      </c>
      <c r="H62" s="389">
        <v>119261547.33472788</v>
      </c>
      <c r="I62" s="389">
        <v>92553325.757058799</v>
      </c>
      <c r="J62" s="389">
        <v>62907199.80584611</v>
      </c>
      <c r="K62" s="389">
        <v>0</v>
      </c>
      <c r="L62" s="389">
        <v>0</v>
      </c>
      <c r="M62" s="389">
        <v>0</v>
      </c>
      <c r="N62" s="389">
        <v>0</v>
      </c>
      <c r="O62" s="389">
        <v>0</v>
      </c>
      <c r="P62" s="389">
        <v>0</v>
      </c>
      <c r="Q62" s="389">
        <v>0</v>
      </c>
      <c r="R62" s="389">
        <v>0</v>
      </c>
      <c r="S62" s="389">
        <v>0</v>
      </c>
      <c r="T62" s="389">
        <v>0</v>
      </c>
      <c r="U62" s="389">
        <v>0</v>
      </c>
      <c r="V62" s="389">
        <v>0</v>
      </c>
      <c r="W62" s="389">
        <v>0</v>
      </c>
      <c r="X62" s="389">
        <v>0</v>
      </c>
      <c r="Y62" s="389">
        <v>0</v>
      </c>
      <c r="Z62" s="389">
        <v>0</v>
      </c>
      <c r="AA62" s="389">
        <v>0</v>
      </c>
      <c r="AB62" s="389">
        <v>0</v>
      </c>
      <c r="AC62" s="389">
        <v>0</v>
      </c>
      <c r="AD62" s="389">
        <v>0</v>
      </c>
      <c r="AE62" s="389">
        <v>0</v>
      </c>
      <c r="AF62" s="389">
        <v>0</v>
      </c>
      <c r="AG62" s="389">
        <v>0</v>
      </c>
      <c r="AH62" s="389">
        <v>0</v>
      </c>
      <c r="AI62" s="389">
        <v>0</v>
      </c>
      <c r="AJ62" s="389">
        <v>0</v>
      </c>
      <c r="AK62" s="425"/>
      <c r="AN62" s="426"/>
    </row>
    <row r="63" spans="1:41">
      <c r="A63" s="270"/>
      <c r="C63" s="382" t="s">
        <v>501</v>
      </c>
      <c r="D63" s="388">
        <v>0</v>
      </c>
      <c r="E63" s="389">
        <v>0</v>
      </c>
      <c r="F63" s="389">
        <v>0</v>
      </c>
      <c r="G63" s="389">
        <v>0</v>
      </c>
      <c r="H63" s="389">
        <v>30000000</v>
      </c>
      <c r="I63" s="389">
        <v>26933541.91649707</v>
      </c>
      <c r="J63" s="389">
        <v>23529773.443808816</v>
      </c>
      <c r="K63" s="389">
        <v>19751590.439124856</v>
      </c>
      <c r="L63" s="389">
        <v>15557807.30392566</v>
      </c>
      <c r="M63" s="389">
        <v>10902708.02385455</v>
      </c>
      <c r="N63" s="389">
        <v>5735547.8229756197</v>
      </c>
      <c r="O63" s="389">
        <v>0</v>
      </c>
      <c r="P63" s="389">
        <v>0</v>
      </c>
      <c r="Q63" s="389">
        <v>0</v>
      </c>
      <c r="R63" s="389">
        <v>0</v>
      </c>
      <c r="S63" s="389">
        <v>0</v>
      </c>
      <c r="T63" s="389">
        <v>0</v>
      </c>
      <c r="U63" s="389">
        <v>0</v>
      </c>
      <c r="V63" s="389">
        <v>0</v>
      </c>
      <c r="W63" s="389">
        <v>0</v>
      </c>
      <c r="X63" s="389">
        <v>0</v>
      </c>
      <c r="Y63" s="389">
        <v>0</v>
      </c>
      <c r="Z63" s="389">
        <v>0</v>
      </c>
      <c r="AA63" s="389">
        <v>0</v>
      </c>
      <c r="AB63" s="389">
        <v>0</v>
      </c>
      <c r="AC63" s="389">
        <v>0</v>
      </c>
      <c r="AD63" s="389">
        <v>0</v>
      </c>
      <c r="AE63" s="389">
        <v>0</v>
      </c>
      <c r="AF63" s="389">
        <v>0</v>
      </c>
      <c r="AG63" s="389">
        <v>0</v>
      </c>
      <c r="AH63" s="389">
        <v>0</v>
      </c>
      <c r="AI63" s="389">
        <v>0</v>
      </c>
      <c r="AJ63" s="389">
        <v>0</v>
      </c>
      <c r="AK63" s="425"/>
      <c r="AN63" s="426"/>
    </row>
    <row r="64" spans="1:41">
      <c r="A64" s="270"/>
      <c r="C64" s="382" t="s">
        <v>502</v>
      </c>
      <c r="D64" s="388">
        <v>0</v>
      </c>
      <c r="E64" s="389">
        <v>0</v>
      </c>
      <c r="F64" s="389">
        <v>0</v>
      </c>
      <c r="G64" s="389">
        <v>0</v>
      </c>
      <c r="H64" s="389">
        <v>0</v>
      </c>
      <c r="I64" s="389">
        <v>15000000</v>
      </c>
      <c r="J64" s="389">
        <v>13466770.958248535</v>
      </c>
      <c r="K64" s="389">
        <v>11764886.721904408</v>
      </c>
      <c r="L64" s="389">
        <v>9875795.2195624281</v>
      </c>
      <c r="M64" s="389">
        <v>7778903.6519628298</v>
      </c>
      <c r="N64" s="389">
        <v>5451354.011927275</v>
      </c>
      <c r="O64" s="389">
        <v>2867773.9114878098</v>
      </c>
      <c r="P64" s="389">
        <v>0</v>
      </c>
      <c r="Q64" s="389">
        <v>0</v>
      </c>
      <c r="R64" s="389">
        <v>0</v>
      </c>
      <c r="S64" s="389">
        <v>0</v>
      </c>
      <c r="T64" s="389">
        <v>0</v>
      </c>
      <c r="U64" s="389">
        <v>0</v>
      </c>
      <c r="V64" s="389">
        <v>0</v>
      </c>
      <c r="W64" s="389">
        <v>0</v>
      </c>
      <c r="X64" s="389">
        <v>0</v>
      </c>
      <c r="Y64" s="389">
        <v>0</v>
      </c>
      <c r="Z64" s="389">
        <v>0</v>
      </c>
      <c r="AA64" s="389">
        <v>0</v>
      </c>
      <c r="AB64" s="389">
        <v>0</v>
      </c>
      <c r="AC64" s="389">
        <v>0</v>
      </c>
      <c r="AD64" s="389">
        <v>0</v>
      </c>
      <c r="AE64" s="389">
        <v>0</v>
      </c>
      <c r="AF64" s="389">
        <v>0</v>
      </c>
      <c r="AG64" s="389">
        <v>0</v>
      </c>
      <c r="AH64" s="389">
        <v>0</v>
      </c>
      <c r="AI64" s="389">
        <v>0</v>
      </c>
      <c r="AJ64" s="389">
        <v>0</v>
      </c>
      <c r="AK64" s="425"/>
      <c r="AN64" s="426"/>
    </row>
    <row r="65" spans="1:41">
      <c r="A65" s="270"/>
      <c r="C65" s="382" t="s">
        <v>503</v>
      </c>
      <c r="D65" s="388">
        <v>0</v>
      </c>
      <c r="E65" s="389">
        <v>0</v>
      </c>
      <c r="F65" s="389">
        <v>0</v>
      </c>
      <c r="G65" s="389">
        <v>0</v>
      </c>
      <c r="H65" s="389">
        <v>7500000</v>
      </c>
      <c r="I65" s="389">
        <v>6733385.4791242676</v>
      </c>
      <c r="J65" s="389">
        <v>5882443.3609522041</v>
      </c>
      <c r="K65" s="389">
        <v>4937897.609781214</v>
      </c>
      <c r="L65" s="389">
        <v>3889451.8259814149</v>
      </c>
      <c r="M65" s="389">
        <v>2725677.0059636375</v>
      </c>
      <c r="N65" s="389">
        <v>1433886.9557439049</v>
      </c>
      <c r="O65" s="389">
        <v>0</v>
      </c>
      <c r="P65" s="389">
        <v>0</v>
      </c>
      <c r="Q65" s="389">
        <v>0</v>
      </c>
      <c r="R65" s="389">
        <v>0</v>
      </c>
      <c r="S65" s="389">
        <v>0</v>
      </c>
      <c r="T65" s="389">
        <v>0</v>
      </c>
      <c r="U65" s="389">
        <v>0</v>
      </c>
      <c r="V65" s="389">
        <v>0</v>
      </c>
      <c r="W65" s="389">
        <v>0</v>
      </c>
      <c r="X65" s="389">
        <v>0</v>
      </c>
      <c r="Y65" s="389">
        <v>0</v>
      </c>
      <c r="Z65" s="389">
        <v>0</v>
      </c>
      <c r="AA65" s="389">
        <v>0</v>
      </c>
      <c r="AB65" s="389">
        <v>0</v>
      </c>
      <c r="AC65" s="389">
        <v>0</v>
      </c>
      <c r="AD65" s="389">
        <v>0</v>
      </c>
      <c r="AE65" s="389">
        <v>0</v>
      </c>
      <c r="AF65" s="389">
        <v>0</v>
      </c>
      <c r="AG65" s="389">
        <v>0</v>
      </c>
      <c r="AH65" s="389">
        <v>0</v>
      </c>
      <c r="AI65" s="389">
        <v>0</v>
      </c>
      <c r="AJ65" s="389">
        <v>0</v>
      </c>
      <c r="AK65" s="425"/>
      <c r="AN65" s="426"/>
    </row>
    <row r="66" spans="1:41">
      <c r="A66" s="270"/>
      <c r="C66" s="382" t="s">
        <v>504</v>
      </c>
      <c r="D66" s="388">
        <v>0</v>
      </c>
      <c r="E66" s="389">
        <v>0</v>
      </c>
      <c r="F66" s="389">
        <v>0</v>
      </c>
      <c r="G66" s="389">
        <v>0</v>
      </c>
      <c r="H66" s="389">
        <v>0</v>
      </c>
      <c r="I66" s="389">
        <v>0</v>
      </c>
      <c r="J66" s="389">
        <v>6000000</v>
      </c>
      <c r="K66" s="389">
        <v>5386708.3832994141</v>
      </c>
      <c r="L66" s="389">
        <v>4705954.6887617633</v>
      </c>
      <c r="M66" s="389">
        <v>3950318.0878249709</v>
      </c>
      <c r="N66" s="389">
        <v>3111561.4607851314</v>
      </c>
      <c r="O66" s="389">
        <v>2180541.60477091</v>
      </c>
      <c r="P66" s="389">
        <v>1147109.5645951238</v>
      </c>
      <c r="Q66" s="389">
        <v>0</v>
      </c>
      <c r="R66" s="389">
        <v>0</v>
      </c>
      <c r="S66" s="389">
        <v>0</v>
      </c>
      <c r="T66" s="389">
        <v>0</v>
      </c>
      <c r="U66" s="389">
        <v>0</v>
      </c>
      <c r="V66" s="389">
        <v>0</v>
      </c>
      <c r="W66" s="389">
        <v>0</v>
      </c>
      <c r="X66" s="389">
        <v>0</v>
      </c>
      <c r="Y66" s="389">
        <v>0</v>
      </c>
      <c r="Z66" s="389">
        <v>0</v>
      </c>
      <c r="AA66" s="389">
        <v>0</v>
      </c>
      <c r="AB66" s="389">
        <v>0</v>
      </c>
      <c r="AC66" s="389">
        <v>0</v>
      </c>
      <c r="AD66" s="389">
        <v>0</v>
      </c>
      <c r="AE66" s="389">
        <v>0</v>
      </c>
      <c r="AF66" s="389">
        <v>0</v>
      </c>
      <c r="AG66" s="389">
        <v>0</v>
      </c>
      <c r="AH66" s="389">
        <v>0</v>
      </c>
      <c r="AI66" s="389">
        <v>0</v>
      </c>
      <c r="AJ66" s="389">
        <v>0</v>
      </c>
      <c r="AK66" s="425"/>
      <c r="AN66" s="426"/>
    </row>
    <row r="67" spans="1:41">
      <c r="A67" s="270"/>
      <c r="C67" s="382" t="s">
        <v>505</v>
      </c>
      <c r="D67" s="388">
        <v>0</v>
      </c>
      <c r="E67" s="389">
        <v>0</v>
      </c>
      <c r="F67" s="389">
        <v>0</v>
      </c>
      <c r="G67" s="389">
        <v>0</v>
      </c>
      <c r="H67" s="389">
        <v>4500000</v>
      </c>
      <c r="I67" s="389">
        <v>4040031.2874745606</v>
      </c>
      <c r="J67" s="389">
        <v>3529466.0165713225</v>
      </c>
      <c r="K67" s="389">
        <v>2962738.5658687283</v>
      </c>
      <c r="L67" s="389">
        <v>2333671.0955888489</v>
      </c>
      <c r="M67" s="389">
        <v>1635406.2035781825</v>
      </c>
      <c r="N67" s="389">
        <v>860332.17344634293</v>
      </c>
      <c r="O67" s="389">
        <v>9.3132257461547852E-10</v>
      </c>
      <c r="P67" s="389">
        <v>9.3132257461547852E-10</v>
      </c>
      <c r="Q67" s="389">
        <v>9.3132257461547852E-10</v>
      </c>
      <c r="R67" s="389">
        <v>9.3132257461547852E-10</v>
      </c>
      <c r="S67" s="389">
        <v>9.3132257461547852E-10</v>
      </c>
      <c r="T67" s="389">
        <v>9.3132257461547852E-10</v>
      </c>
      <c r="U67" s="389">
        <v>9.3132257461547852E-10</v>
      </c>
      <c r="V67" s="389">
        <v>9.3132257461547852E-10</v>
      </c>
      <c r="W67" s="389">
        <v>9.3132257461547852E-10</v>
      </c>
      <c r="X67" s="389">
        <v>9.3132257461547852E-10</v>
      </c>
      <c r="Y67" s="389">
        <v>9.3132257461547852E-10</v>
      </c>
      <c r="Z67" s="389">
        <v>9.3132257461547852E-10</v>
      </c>
      <c r="AA67" s="389">
        <v>9.3132257461547852E-10</v>
      </c>
      <c r="AB67" s="389">
        <v>9.3132257461547852E-10</v>
      </c>
      <c r="AC67" s="389">
        <v>9.3132257461547852E-10</v>
      </c>
      <c r="AD67" s="389">
        <v>9.3132257461547852E-10</v>
      </c>
      <c r="AE67" s="389">
        <v>9.3132257461547852E-10</v>
      </c>
      <c r="AF67" s="389">
        <v>9.3132257461547852E-10</v>
      </c>
      <c r="AG67" s="389">
        <v>9.3132257461547852E-10</v>
      </c>
      <c r="AH67" s="389">
        <v>9.3132257461547852E-10</v>
      </c>
      <c r="AI67" s="389">
        <v>9.3132257461547852E-10</v>
      </c>
      <c r="AJ67" s="389">
        <v>9.3132257461547852E-10</v>
      </c>
      <c r="AK67" s="425"/>
      <c r="AN67" s="426"/>
    </row>
    <row r="68" spans="1:41">
      <c r="A68" s="270"/>
      <c r="C68" s="382" t="s">
        <v>506</v>
      </c>
      <c r="D68" s="383">
        <v>0</v>
      </c>
      <c r="E68" s="384">
        <v>0</v>
      </c>
      <c r="F68" s="384">
        <v>0</v>
      </c>
      <c r="G68" s="384">
        <v>0</v>
      </c>
      <c r="H68" s="384">
        <v>0</v>
      </c>
      <c r="I68" s="384">
        <v>6000000</v>
      </c>
      <c r="J68" s="384">
        <v>5386708.3832994141</v>
      </c>
      <c r="K68" s="384">
        <v>4705954.6887617633</v>
      </c>
      <c r="L68" s="384">
        <v>3950318.0878249709</v>
      </c>
      <c r="M68" s="384">
        <v>3111561.4607851314</v>
      </c>
      <c r="N68" s="384">
        <v>2180541.60477091</v>
      </c>
      <c r="O68" s="384">
        <v>1147109.5645951238</v>
      </c>
      <c r="P68" s="384">
        <v>0</v>
      </c>
      <c r="Q68" s="384">
        <v>0</v>
      </c>
      <c r="R68" s="384">
        <v>0</v>
      </c>
      <c r="S68" s="384">
        <v>0</v>
      </c>
      <c r="T68" s="384">
        <v>0</v>
      </c>
      <c r="U68" s="384">
        <v>0</v>
      </c>
      <c r="V68" s="384">
        <v>0</v>
      </c>
      <c r="W68" s="384">
        <v>0</v>
      </c>
      <c r="X68" s="384">
        <v>0</v>
      </c>
      <c r="Y68" s="384">
        <v>0</v>
      </c>
      <c r="Z68" s="384">
        <v>0</v>
      </c>
      <c r="AA68" s="384">
        <v>0</v>
      </c>
      <c r="AB68" s="384">
        <v>0</v>
      </c>
      <c r="AC68" s="384">
        <v>0</v>
      </c>
      <c r="AD68" s="384">
        <v>0</v>
      </c>
      <c r="AE68" s="384">
        <v>0</v>
      </c>
      <c r="AF68" s="384">
        <v>0</v>
      </c>
      <c r="AG68" s="384">
        <v>0</v>
      </c>
      <c r="AH68" s="384">
        <v>0</v>
      </c>
      <c r="AI68" s="384">
        <v>0</v>
      </c>
      <c r="AJ68" s="384">
        <v>0</v>
      </c>
      <c r="AK68" s="424"/>
      <c r="AN68" s="426"/>
      <c r="AO68" s="426"/>
    </row>
    <row r="69" spans="1:41">
      <c r="A69" s="270"/>
      <c r="C69" s="382"/>
      <c r="D69" s="383"/>
      <c r="E69" s="384"/>
      <c r="F69" s="384"/>
      <c r="G69" s="384"/>
      <c r="H69" s="384"/>
      <c r="I69" s="384"/>
      <c r="J69" s="384"/>
      <c r="K69" s="384"/>
      <c r="L69" s="384"/>
      <c r="M69" s="384"/>
      <c r="N69" s="384"/>
      <c r="O69" s="384"/>
      <c r="P69" s="384"/>
      <c r="Q69" s="384"/>
      <c r="R69" s="384"/>
      <c r="S69" s="384"/>
      <c r="T69" s="384"/>
      <c r="U69" s="384"/>
      <c r="V69" s="384"/>
      <c r="W69" s="384"/>
      <c r="X69" s="384"/>
      <c r="Y69" s="384"/>
      <c r="Z69" s="384"/>
      <c r="AA69" s="384"/>
      <c r="AB69" s="384"/>
      <c r="AC69" s="384"/>
      <c r="AD69" s="384"/>
      <c r="AE69" s="384"/>
      <c r="AF69" s="384"/>
      <c r="AG69" s="384"/>
      <c r="AH69" s="384"/>
      <c r="AI69" s="384"/>
      <c r="AJ69" s="384"/>
      <c r="AK69" s="424"/>
      <c r="AN69" s="426"/>
      <c r="AO69" s="426"/>
    </row>
    <row r="70" spans="1:41">
      <c r="A70" s="270"/>
      <c r="C70" s="382"/>
      <c r="D70" s="383"/>
      <c r="E70" s="384"/>
      <c r="F70" s="384"/>
      <c r="G70" s="384"/>
      <c r="H70" s="384"/>
      <c r="I70" s="384"/>
      <c r="J70" s="384"/>
      <c r="K70" s="384"/>
      <c r="L70" s="384"/>
      <c r="M70" s="384"/>
      <c r="N70" s="384"/>
      <c r="O70" s="384"/>
      <c r="P70" s="384"/>
      <c r="Q70" s="384"/>
      <c r="R70" s="384"/>
      <c r="S70" s="384"/>
      <c r="T70" s="384"/>
      <c r="U70" s="384"/>
      <c r="V70" s="384"/>
      <c r="W70" s="384"/>
      <c r="X70" s="384"/>
      <c r="Y70" s="384"/>
      <c r="Z70" s="384"/>
      <c r="AA70" s="384"/>
      <c r="AB70" s="384"/>
      <c r="AC70" s="384"/>
      <c r="AD70" s="384"/>
      <c r="AE70" s="384"/>
      <c r="AF70" s="384"/>
      <c r="AG70" s="384"/>
      <c r="AH70" s="384"/>
      <c r="AI70" s="384"/>
      <c r="AJ70" s="384"/>
      <c r="AK70" s="424"/>
      <c r="AN70" s="426"/>
      <c r="AO70" s="426"/>
    </row>
    <row r="71" spans="1:41">
      <c r="A71" s="270"/>
      <c r="C71" s="382"/>
      <c r="D71" s="383"/>
      <c r="E71" s="384"/>
      <c r="F71" s="384"/>
      <c r="G71" s="384"/>
      <c r="H71" s="384"/>
      <c r="I71" s="384"/>
      <c r="J71" s="384"/>
      <c r="K71" s="384"/>
      <c r="L71" s="384"/>
      <c r="M71" s="384"/>
      <c r="N71" s="384"/>
      <c r="O71" s="384"/>
      <c r="P71" s="384"/>
      <c r="Q71" s="384"/>
      <c r="R71" s="384"/>
      <c r="S71" s="384"/>
      <c r="T71" s="384"/>
      <c r="U71" s="384"/>
      <c r="V71" s="384"/>
      <c r="W71" s="384"/>
      <c r="X71" s="384"/>
      <c r="Y71" s="384"/>
      <c r="Z71" s="384"/>
      <c r="AA71" s="384"/>
      <c r="AB71" s="384"/>
      <c r="AC71" s="384"/>
      <c r="AD71" s="384"/>
      <c r="AE71" s="384"/>
      <c r="AF71" s="384"/>
      <c r="AG71" s="384"/>
      <c r="AH71" s="384"/>
      <c r="AI71" s="384"/>
      <c r="AJ71" s="384"/>
      <c r="AK71" s="424"/>
      <c r="AN71" s="426"/>
      <c r="AO71" s="426"/>
    </row>
    <row r="72" spans="1:41" ht="16.5" thickBot="1">
      <c r="A72" s="270"/>
      <c r="C72" s="385" t="s">
        <v>507</v>
      </c>
      <c r="D72" s="273">
        <v>0</v>
      </c>
      <c r="E72" s="274">
        <v>29114448.001009081</v>
      </c>
      <c r="F72" s="274">
        <v>80071530.000630677</v>
      </c>
      <c r="G72" s="274">
        <v>143323008.21551085</v>
      </c>
      <c r="H72" s="274">
        <v>161261547.33472788</v>
      </c>
      <c r="I72" s="274">
        <v>151260284.4401547</v>
      </c>
      <c r="J72" s="274">
        <v>120702361.9687264</v>
      </c>
      <c r="K72" s="274">
        <v>49509776.408740386</v>
      </c>
      <c r="L72" s="274">
        <v>40312998.221645087</v>
      </c>
      <c r="M72" s="274">
        <v>30104574.4339693</v>
      </c>
      <c r="N72" s="274">
        <v>18773224.029649183</v>
      </c>
      <c r="O72" s="274">
        <v>6195425.080853845</v>
      </c>
      <c r="P72" s="274">
        <v>1147109.5645951247</v>
      </c>
      <c r="Q72" s="274">
        <v>9.3132257461547852E-10</v>
      </c>
      <c r="R72" s="274">
        <v>9.3132257461547852E-10</v>
      </c>
      <c r="S72" s="274">
        <v>9.3132257461547852E-10</v>
      </c>
      <c r="T72" s="274">
        <v>9.3132257461547852E-10</v>
      </c>
      <c r="U72" s="274">
        <v>9.3132257461547852E-10</v>
      </c>
      <c r="V72" s="274">
        <v>9.3132257461547852E-10</v>
      </c>
      <c r="W72" s="274">
        <v>9.3132257461547852E-10</v>
      </c>
      <c r="X72" s="274">
        <v>9.3132257461547852E-10</v>
      </c>
      <c r="Y72" s="274">
        <v>9.3132257461547852E-10</v>
      </c>
      <c r="Z72" s="274">
        <v>9.3132257461547852E-10</v>
      </c>
      <c r="AA72" s="274">
        <v>9.3132257461547852E-10</v>
      </c>
      <c r="AB72" s="274">
        <v>9.3132257461547852E-10</v>
      </c>
      <c r="AC72" s="274">
        <v>9.3132257461547852E-10</v>
      </c>
      <c r="AD72" s="274">
        <v>9.3132257461547852E-10</v>
      </c>
      <c r="AE72" s="274">
        <v>9.3132257461547852E-10</v>
      </c>
      <c r="AF72" s="274">
        <v>9.3132257461547852E-10</v>
      </c>
      <c r="AG72" s="274">
        <v>9.3132257461547852E-10</v>
      </c>
      <c r="AH72" s="274">
        <v>9.3132257461547852E-10</v>
      </c>
      <c r="AI72" s="274">
        <v>9.3132257461547852E-10</v>
      </c>
      <c r="AJ72" s="274">
        <v>9.3132257461547852E-10</v>
      </c>
      <c r="AK72" s="275"/>
    </row>
    <row r="73" spans="1:41" ht="3.75" customHeight="1">
      <c r="A73" s="270"/>
      <c r="D73" s="426"/>
      <c r="E73" s="426"/>
      <c r="F73" s="426"/>
      <c r="G73" s="426"/>
      <c r="H73" s="426"/>
      <c r="I73" s="426"/>
      <c r="J73" s="426"/>
      <c r="K73" s="426"/>
      <c r="L73" s="426"/>
      <c r="M73" s="426"/>
      <c r="N73" s="426"/>
      <c r="O73" s="426"/>
      <c r="P73" s="426"/>
      <c r="Q73" s="426"/>
      <c r="R73" s="426"/>
      <c r="S73" s="426"/>
      <c r="T73" s="426"/>
      <c r="U73" s="426"/>
      <c r="V73" s="426"/>
      <c r="W73" s="426"/>
      <c r="X73" s="426"/>
      <c r="Y73" s="426"/>
      <c r="Z73" s="426"/>
      <c r="AA73" s="426"/>
      <c r="AB73" s="426"/>
      <c r="AC73" s="426"/>
      <c r="AD73" s="426"/>
      <c r="AE73" s="426"/>
      <c r="AF73" s="426"/>
      <c r="AG73" s="426"/>
      <c r="AH73" s="426"/>
      <c r="AI73" s="426"/>
      <c r="AJ73" s="426"/>
    </row>
    <row r="74" spans="1:41">
      <c r="A74" s="270"/>
      <c r="C74" s="391" t="s">
        <v>508</v>
      </c>
      <c r="D74" s="392">
        <v>0</v>
      </c>
      <c r="E74" s="393">
        <v>69944014.150000006</v>
      </c>
      <c r="F74" s="393">
        <v>104916021.22499999</v>
      </c>
      <c r="G74" s="393">
        <v>174860035.375</v>
      </c>
      <c r="H74" s="393"/>
      <c r="I74" s="393"/>
      <c r="J74" s="393"/>
      <c r="K74" s="393"/>
      <c r="L74" s="393"/>
      <c r="M74" s="393"/>
      <c r="N74" s="393"/>
      <c r="O74" s="393"/>
      <c r="P74" s="393"/>
      <c r="Q74" s="393"/>
      <c r="R74" s="393"/>
      <c r="S74" s="393"/>
      <c r="T74" s="393"/>
      <c r="U74" s="393"/>
      <c r="V74" s="393"/>
      <c r="W74" s="393"/>
      <c r="X74" s="393"/>
      <c r="Y74" s="393"/>
      <c r="Z74" s="393"/>
      <c r="AA74" s="393"/>
      <c r="AB74" s="393"/>
      <c r="AC74" s="393"/>
      <c r="AD74" s="393"/>
      <c r="AE74" s="393"/>
      <c r="AF74" s="393"/>
      <c r="AG74" s="393"/>
      <c r="AH74" s="393"/>
      <c r="AI74" s="393"/>
      <c r="AJ74" s="393"/>
      <c r="AK74" s="425"/>
      <c r="AN74" s="426"/>
    </row>
    <row r="75" spans="1:41">
      <c r="A75" s="270"/>
      <c r="C75" s="382" t="s">
        <v>509</v>
      </c>
      <c r="D75" s="388">
        <v>0</v>
      </c>
      <c r="E75" s="389">
        <v>10000000</v>
      </c>
      <c r="F75" s="389">
        <v>0</v>
      </c>
      <c r="G75" s="389">
        <v>0</v>
      </c>
      <c r="H75" s="389">
        <v>0</v>
      </c>
      <c r="I75" s="389">
        <v>0</v>
      </c>
      <c r="J75" s="389">
        <v>0</v>
      </c>
      <c r="K75" s="389">
        <v>0</v>
      </c>
      <c r="L75" s="389">
        <v>0</v>
      </c>
      <c r="M75" s="389">
        <v>0</v>
      </c>
      <c r="N75" s="389">
        <v>0</v>
      </c>
      <c r="O75" s="389">
        <v>0</v>
      </c>
      <c r="P75" s="389">
        <v>0</v>
      </c>
      <c r="Q75" s="389">
        <v>0</v>
      </c>
      <c r="R75" s="389">
        <v>0</v>
      </c>
      <c r="S75" s="389">
        <v>0</v>
      </c>
      <c r="T75" s="389">
        <v>0</v>
      </c>
      <c r="U75" s="389">
        <v>0</v>
      </c>
      <c r="V75" s="389">
        <v>0</v>
      </c>
      <c r="W75" s="389">
        <v>0</v>
      </c>
      <c r="X75" s="389">
        <v>0</v>
      </c>
      <c r="Y75" s="389">
        <v>0</v>
      </c>
      <c r="Z75" s="389">
        <v>0</v>
      </c>
      <c r="AA75" s="389">
        <v>0</v>
      </c>
      <c r="AB75" s="389">
        <v>0</v>
      </c>
      <c r="AC75" s="389">
        <v>0</v>
      </c>
      <c r="AD75" s="389">
        <v>0</v>
      </c>
      <c r="AE75" s="389">
        <v>0</v>
      </c>
      <c r="AF75" s="389">
        <v>0</v>
      </c>
      <c r="AG75" s="389">
        <v>0</v>
      </c>
      <c r="AH75" s="389">
        <v>0</v>
      </c>
      <c r="AI75" s="389">
        <v>0</v>
      </c>
      <c r="AJ75" s="389">
        <v>0</v>
      </c>
      <c r="AK75" s="425"/>
      <c r="AN75" s="426"/>
    </row>
    <row r="76" spans="1:41">
      <c r="A76" s="270"/>
      <c r="C76" s="382" t="s">
        <v>510</v>
      </c>
      <c r="D76" s="388">
        <v>0</v>
      </c>
      <c r="E76" s="389">
        <v>59944014.150000006</v>
      </c>
      <c r="F76" s="389">
        <v>104916021.22499999</v>
      </c>
      <c r="G76" s="389">
        <v>174860035.375</v>
      </c>
      <c r="H76" s="389"/>
      <c r="I76" s="389"/>
      <c r="J76" s="389"/>
      <c r="K76" s="389"/>
      <c r="L76" s="389"/>
      <c r="M76" s="389"/>
      <c r="N76" s="389"/>
      <c r="O76" s="389"/>
      <c r="P76" s="389"/>
      <c r="Q76" s="389"/>
      <c r="R76" s="389"/>
      <c r="S76" s="389"/>
      <c r="T76" s="389"/>
      <c r="U76" s="389"/>
      <c r="V76" s="389"/>
      <c r="W76" s="389"/>
      <c r="X76" s="389"/>
      <c r="Y76" s="389"/>
      <c r="Z76" s="389"/>
      <c r="AA76" s="389"/>
      <c r="AB76" s="389"/>
      <c r="AC76" s="389"/>
      <c r="AD76" s="389"/>
      <c r="AE76" s="389"/>
      <c r="AF76" s="389"/>
      <c r="AG76" s="389"/>
      <c r="AH76" s="389"/>
      <c r="AI76" s="389"/>
      <c r="AJ76" s="389"/>
      <c r="AK76" s="425"/>
      <c r="AN76" s="426"/>
    </row>
    <row r="77" spans="1:41">
      <c r="A77" s="270"/>
      <c r="C77" s="382" t="s">
        <v>511</v>
      </c>
      <c r="D77" s="388">
        <v>0</v>
      </c>
      <c r="E77" s="389">
        <v>35966408.490000002</v>
      </c>
      <c r="F77" s="389">
        <v>62949612.734999992</v>
      </c>
      <c r="G77" s="389">
        <v>104916021.22499999</v>
      </c>
      <c r="H77" s="389"/>
      <c r="I77" s="389"/>
      <c r="J77" s="389"/>
      <c r="K77" s="389"/>
      <c r="L77" s="389"/>
      <c r="M77" s="389"/>
      <c r="N77" s="389"/>
      <c r="O77" s="389"/>
      <c r="P77" s="389"/>
      <c r="Q77" s="389"/>
      <c r="R77" s="389"/>
      <c r="S77" s="389"/>
      <c r="T77" s="389"/>
      <c r="U77" s="389"/>
      <c r="V77" s="389"/>
      <c r="W77" s="389"/>
      <c r="X77" s="389"/>
      <c r="Y77" s="389"/>
      <c r="Z77" s="389"/>
      <c r="AA77" s="389"/>
      <c r="AB77" s="389"/>
      <c r="AC77" s="389"/>
      <c r="AD77" s="389"/>
      <c r="AE77" s="389"/>
      <c r="AF77" s="389"/>
      <c r="AG77" s="389"/>
      <c r="AH77" s="389"/>
      <c r="AI77" s="389"/>
      <c r="AJ77" s="389"/>
      <c r="AK77" s="425"/>
      <c r="AN77" s="426"/>
    </row>
    <row r="78" spans="1:41">
      <c r="A78" s="270"/>
      <c r="C78" s="382" t="s">
        <v>512</v>
      </c>
      <c r="D78" s="388">
        <v>0</v>
      </c>
      <c r="E78" s="389">
        <v>23977605.660000004</v>
      </c>
      <c r="F78" s="389">
        <v>41966408.490000002</v>
      </c>
      <c r="G78" s="389">
        <v>69944014.150000006</v>
      </c>
      <c r="H78" s="389"/>
      <c r="I78" s="389"/>
      <c r="J78" s="389"/>
      <c r="K78" s="389"/>
      <c r="L78" s="389"/>
      <c r="M78" s="389"/>
      <c r="N78" s="389"/>
      <c r="O78" s="389"/>
      <c r="P78" s="389"/>
      <c r="Q78" s="389"/>
      <c r="R78" s="389"/>
      <c r="S78" s="389"/>
      <c r="T78" s="389"/>
      <c r="U78" s="389"/>
      <c r="V78" s="389"/>
      <c r="W78" s="389"/>
      <c r="X78" s="389"/>
      <c r="Y78" s="389"/>
      <c r="Z78" s="389"/>
      <c r="AA78" s="389"/>
      <c r="AB78" s="389"/>
      <c r="AC78" s="389"/>
      <c r="AD78" s="389"/>
      <c r="AE78" s="389"/>
      <c r="AF78" s="389"/>
      <c r="AG78" s="389"/>
      <c r="AH78" s="389"/>
      <c r="AI78" s="389"/>
      <c r="AJ78" s="389"/>
      <c r="AK78" s="425"/>
      <c r="AN78" s="426"/>
    </row>
    <row r="79" spans="1:41">
      <c r="A79" s="270"/>
      <c r="C79" s="382" t="s">
        <v>554</v>
      </c>
      <c r="D79" s="388">
        <v>0</v>
      </c>
      <c r="E79" s="389">
        <v>29114448.001009081</v>
      </c>
      <c r="F79" s="389">
        <v>50957081.999621592</v>
      </c>
      <c r="G79" s="389">
        <v>84928469.999369323</v>
      </c>
      <c r="H79" s="389"/>
      <c r="I79" s="389"/>
      <c r="J79" s="389"/>
      <c r="K79" s="389"/>
      <c r="L79" s="389"/>
      <c r="M79" s="389"/>
      <c r="N79" s="389"/>
      <c r="O79" s="389"/>
      <c r="P79" s="389"/>
      <c r="Q79" s="389"/>
      <c r="R79" s="389"/>
      <c r="S79" s="389"/>
      <c r="T79" s="389"/>
      <c r="U79" s="389"/>
      <c r="V79" s="389"/>
      <c r="W79" s="389"/>
      <c r="X79" s="389"/>
      <c r="Y79" s="389"/>
      <c r="Z79" s="389"/>
      <c r="AA79" s="389"/>
      <c r="AB79" s="389"/>
      <c r="AC79" s="389"/>
      <c r="AD79" s="389"/>
      <c r="AE79" s="389"/>
      <c r="AF79" s="389"/>
      <c r="AG79" s="389"/>
      <c r="AH79" s="389"/>
      <c r="AI79" s="389"/>
      <c r="AJ79" s="389"/>
      <c r="AK79" s="425"/>
      <c r="AN79" s="426"/>
    </row>
    <row r="80" spans="1:41">
      <c r="A80" s="270"/>
      <c r="C80" s="427" t="s">
        <v>513</v>
      </c>
      <c r="D80" s="428">
        <v>0</v>
      </c>
      <c r="E80" s="429">
        <v>30829566.148990925</v>
      </c>
      <c r="F80" s="429">
        <v>53958939.225378402</v>
      </c>
      <c r="G80" s="429">
        <v>89931565.375630677</v>
      </c>
      <c r="H80" s="429"/>
      <c r="I80" s="429"/>
      <c r="J80" s="429"/>
      <c r="K80" s="429"/>
      <c r="L80" s="429"/>
      <c r="M80" s="429"/>
      <c r="N80" s="429"/>
      <c r="O80" s="429"/>
      <c r="P80" s="429"/>
      <c r="Q80" s="429"/>
      <c r="R80" s="429"/>
      <c r="S80" s="429"/>
      <c r="T80" s="429"/>
      <c r="U80" s="429"/>
      <c r="V80" s="429"/>
      <c r="W80" s="429"/>
      <c r="X80" s="429"/>
      <c r="Y80" s="429"/>
      <c r="Z80" s="429"/>
      <c r="AA80" s="429"/>
      <c r="AB80" s="429"/>
      <c r="AC80" s="429"/>
      <c r="AD80" s="429"/>
      <c r="AE80" s="429"/>
      <c r="AF80" s="429"/>
      <c r="AG80" s="429"/>
      <c r="AH80" s="429"/>
      <c r="AI80" s="429"/>
      <c r="AJ80" s="429"/>
      <c r="AK80" s="424"/>
      <c r="AN80" s="426"/>
      <c r="AO80" s="426"/>
    </row>
    <row r="81" spans="1:36">
      <c r="A81" s="270"/>
      <c r="D81" s="426"/>
      <c r="E81" s="426"/>
      <c r="F81" s="426"/>
      <c r="G81" s="426"/>
      <c r="H81" s="426"/>
      <c r="I81" s="426"/>
      <c r="J81" s="426"/>
      <c r="K81" s="426"/>
      <c r="L81" s="426"/>
      <c r="M81" s="426"/>
      <c r="N81" s="426"/>
      <c r="O81" s="426"/>
      <c r="P81" s="426"/>
      <c r="Q81" s="426"/>
      <c r="R81" s="426"/>
      <c r="S81" s="426"/>
      <c r="T81" s="426"/>
      <c r="U81" s="426"/>
      <c r="V81" s="426"/>
      <c r="W81" s="426"/>
      <c r="X81" s="426"/>
      <c r="Y81" s="426"/>
      <c r="Z81" s="426"/>
      <c r="AA81" s="426"/>
      <c r="AB81" s="426"/>
      <c r="AC81" s="426"/>
      <c r="AD81" s="426"/>
      <c r="AE81" s="426"/>
      <c r="AF81" s="426"/>
      <c r="AG81" s="426"/>
      <c r="AH81" s="426"/>
      <c r="AI81" s="426"/>
      <c r="AJ81" s="426"/>
    </row>
    <row r="82" spans="1:36">
      <c r="A82" s="270"/>
      <c r="D82" s="426"/>
      <c r="E82" s="426"/>
      <c r="F82" s="426"/>
      <c r="G82" s="426"/>
      <c r="H82" s="426"/>
      <c r="I82" s="426"/>
      <c r="J82" s="426"/>
      <c r="K82" s="426"/>
      <c r="L82" s="426"/>
      <c r="M82" s="426"/>
      <c r="N82" s="426"/>
      <c r="O82" s="426"/>
      <c r="P82" s="426"/>
      <c r="Q82" s="426"/>
      <c r="R82" s="426"/>
      <c r="S82" s="426"/>
      <c r="T82" s="426"/>
      <c r="U82" s="426"/>
      <c r="V82" s="426"/>
      <c r="W82" s="426"/>
      <c r="X82" s="426"/>
      <c r="Y82" s="426"/>
      <c r="Z82" s="426"/>
      <c r="AA82" s="426"/>
      <c r="AB82" s="426"/>
      <c r="AC82" s="426"/>
      <c r="AD82" s="426"/>
      <c r="AE82" s="426"/>
      <c r="AF82" s="426"/>
      <c r="AG82" s="426"/>
      <c r="AH82" s="426"/>
      <c r="AI82" s="426"/>
      <c r="AJ82" s="426"/>
    </row>
    <row r="83" spans="1:36">
      <c r="A83" s="270"/>
      <c r="D83" s="426"/>
      <c r="E83" s="426"/>
      <c r="F83" s="426"/>
      <c r="G83" s="426"/>
      <c r="H83" s="426"/>
      <c r="I83" s="426"/>
      <c r="J83" s="426"/>
      <c r="K83" s="426"/>
      <c r="L83" s="426"/>
      <c r="M83" s="426"/>
      <c r="N83" s="426"/>
      <c r="O83" s="426"/>
      <c r="P83" s="426"/>
      <c r="Q83" s="426"/>
      <c r="R83" s="426"/>
      <c r="S83" s="426"/>
      <c r="T83" s="426"/>
      <c r="U83" s="426"/>
      <c r="V83" s="426"/>
      <c r="W83" s="426"/>
      <c r="X83" s="426"/>
      <c r="Y83" s="426"/>
      <c r="Z83" s="426"/>
      <c r="AA83" s="426"/>
      <c r="AB83" s="426"/>
      <c r="AC83" s="426"/>
      <c r="AD83" s="426"/>
      <c r="AE83" s="426"/>
      <c r="AF83" s="426"/>
      <c r="AG83" s="426"/>
      <c r="AH83" s="426"/>
      <c r="AI83" s="426"/>
      <c r="AJ83" s="426"/>
    </row>
    <row r="84" spans="1:36">
      <c r="A84" s="270"/>
      <c r="D84" s="426"/>
      <c r="E84" s="426"/>
      <c r="F84" s="426"/>
      <c r="G84" s="426"/>
      <c r="H84" s="426"/>
      <c r="I84" s="426"/>
      <c r="J84" s="426"/>
      <c r="K84" s="426"/>
      <c r="L84" s="426"/>
      <c r="M84" s="426"/>
      <c r="N84" s="426"/>
      <c r="O84" s="426"/>
      <c r="P84" s="426"/>
      <c r="Q84" s="426"/>
      <c r="R84" s="426"/>
      <c r="S84" s="426"/>
      <c r="T84" s="426"/>
      <c r="U84" s="426"/>
      <c r="V84" s="426"/>
      <c r="W84" s="426"/>
      <c r="X84" s="426"/>
      <c r="Y84" s="426"/>
      <c r="Z84" s="426"/>
      <c r="AA84" s="426"/>
      <c r="AB84" s="426"/>
      <c r="AC84" s="426"/>
      <c r="AD84" s="426"/>
      <c r="AE84" s="426"/>
      <c r="AF84" s="426"/>
      <c r="AG84" s="426"/>
      <c r="AH84" s="426"/>
      <c r="AI84" s="426"/>
      <c r="AJ84" s="426"/>
    </row>
    <row r="85" spans="1:36">
      <c r="A85" s="270"/>
      <c r="D85" s="426"/>
      <c r="E85" s="426"/>
      <c r="F85" s="426"/>
      <c r="G85" s="426"/>
      <c r="H85" s="426"/>
      <c r="I85" s="426"/>
      <c r="J85" s="426"/>
      <c r="K85" s="426"/>
      <c r="L85" s="426"/>
      <c r="M85" s="426"/>
      <c r="N85" s="426"/>
      <c r="O85" s="426"/>
      <c r="P85" s="426"/>
      <c r="Q85" s="426"/>
      <c r="R85" s="426"/>
      <c r="S85" s="426"/>
      <c r="T85" s="426"/>
      <c r="U85" s="426"/>
      <c r="V85" s="426"/>
      <c r="W85" s="426"/>
      <c r="X85" s="426"/>
      <c r="Y85" s="426"/>
      <c r="Z85" s="426"/>
      <c r="AA85" s="426"/>
      <c r="AB85" s="426"/>
      <c r="AC85" s="426"/>
      <c r="AD85" s="426"/>
      <c r="AE85" s="426"/>
      <c r="AF85" s="426"/>
      <c r="AG85" s="426"/>
      <c r="AH85" s="426"/>
      <c r="AI85" s="426"/>
      <c r="AJ85" s="426"/>
    </row>
    <row r="86" spans="1:36">
      <c r="A86" s="270"/>
      <c r="D86" s="426"/>
      <c r="E86" s="426"/>
      <c r="F86" s="426"/>
      <c r="G86" s="426"/>
      <c r="H86" s="426"/>
      <c r="I86" s="426"/>
      <c r="J86" s="426"/>
      <c r="K86" s="426"/>
      <c r="L86" s="426"/>
      <c r="M86" s="426"/>
      <c r="N86" s="426"/>
      <c r="O86" s="426"/>
      <c r="P86" s="426"/>
      <c r="Q86" s="426"/>
      <c r="R86" s="426"/>
      <c r="S86" s="426"/>
      <c r="T86" s="426"/>
      <c r="U86" s="426"/>
      <c r="V86" s="426"/>
      <c r="W86" s="426"/>
      <c r="X86" s="426"/>
      <c r="Y86" s="426"/>
      <c r="Z86" s="426"/>
      <c r="AA86" s="426"/>
      <c r="AB86" s="426"/>
      <c r="AC86" s="426"/>
      <c r="AD86" s="426"/>
      <c r="AE86" s="426"/>
      <c r="AF86" s="426"/>
      <c r="AG86" s="426"/>
      <c r="AH86" s="426"/>
      <c r="AI86" s="426"/>
      <c r="AJ86" s="426"/>
    </row>
    <row r="87" spans="1:36">
      <c r="A87" s="270"/>
      <c r="D87" s="426"/>
      <c r="E87" s="426"/>
      <c r="F87" s="426"/>
      <c r="G87" s="426"/>
      <c r="H87" s="426"/>
      <c r="I87" s="426"/>
      <c r="J87" s="426"/>
      <c r="K87" s="426"/>
      <c r="L87" s="426"/>
      <c r="M87" s="426"/>
      <c r="N87" s="426"/>
      <c r="O87" s="426"/>
      <c r="P87" s="426"/>
      <c r="Q87" s="426"/>
      <c r="R87" s="426"/>
      <c r="S87" s="426"/>
      <c r="T87" s="426"/>
      <c r="U87" s="426"/>
      <c r="V87" s="426"/>
      <c r="W87" s="426"/>
      <c r="X87" s="426"/>
      <c r="Y87" s="426"/>
      <c r="Z87" s="426"/>
      <c r="AA87" s="426"/>
      <c r="AB87" s="426"/>
      <c r="AC87" s="426"/>
      <c r="AD87" s="426"/>
      <c r="AE87" s="426"/>
      <c r="AF87" s="426"/>
      <c r="AG87" s="426"/>
      <c r="AH87" s="426"/>
      <c r="AI87" s="426"/>
      <c r="AJ87" s="426"/>
    </row>
    <row r="88" spans="1:36">
      <c r="A88" s="270"/>
      <c r="D88" s="426"/>
      <c r="E88" s="426"/>
      <c r="F88" s="426"/>
      <c r="G88" s="426"/>
      <c r="H88" s="426"/>
      <c r="I88" s="426"/>
      <c r="J88" s="426"/>
      <c r="K88" s="426"/>
      <c r="L88" s="426"/>
      <c r="M88" s="426"/>
      <c r="N88" s="426"/>
      <c r="O88" s="426"/>
      <c r="P88" s="426"/>
      <c r="Q88" s="426"/>
      <c r="R88" s="426"/>
      <c r="S88" s="426"/>
      <c r="T88" s="426"/>
      <c r="U88" s="426"/>
      <c r="V88" s="426"/>
      <c r="W88" s="426"/>
      <c r="X88" s="426"/>
      <c r="Y88" s="426"/>
      <c r="Z88" s="426"/>
      <c r="AA88" s="426"/>
      <c r="AB88" s="426"/>
      <c r="AC88" s="426"/>
      <c r="AD88" s="426"/>
      <c r="AE88" s="426"/>
      <c r="AF88" s="426"/>
      <c r="AG88" s="426"/>
      <c r="AH88" s="426"/>
      <c r="AI88" s="426"/>
      <c r="AJ88" s="426"/>
    </row>
    <row r="89" spans="1:36" s="270" customFormat="1">
      <c r="D89" s="430"/>
      <c r="E89" s="430"/>
      <c r="F89" s="430"/>
      <c r="G89" s="430"/>
      <c r="H89" s="430"/>
      <c r="I89" s="430"/>
      <c r="J89" s="430"/>
      <c r="K89" s="430"/>
      <c r="L89" s="430"/>
      <c r="M89" s="430"/>
      <c r="N89" s="430"/>
      <c r="O89" s="430"/>
      <c r="P89" s="430"/>
      <c r="Q89" s="430"/>
      <c r="R89" s="430"/>
      <c r="S89" s="430"/>
      <c r="T89" s="430"/>
      <c r="U89" s="430"/>
      <c r="V89" s="430"/>
      <c r="W89" s="430"/>
      <c r="X89" s="430"/>
      <c r="Y89" s="430"/>
      <c r="Z89" s="430"/>
      <c r="AA89" s="430"/>
      <c r="AB89" s="430"/>
      <c r="AC89" s="430"/>
      <c r="AD89" s="430"/>
      <c r="AE89" s="430"/>
      <c r="AF89" s="430"/>
      <c r="AG89" s="430"/>
      <c r="AH89" s="430"/>
      <c r="AI89" s="430"/>
      <c r="AJ89" s="430"/>
    </row>
    <row r="90" spans="1:36">
      <c r="D90" s="426"/>
      <c r="E90" s="426"/>
      <c r="F90" s="426"/>
      <c r="G90" s="426"/>
      <c r="H90" s="426"/>
      <c r="I90" s="426"/>
      <c r="J90" s="426"/>
      <c r="K90" s="426"/>
      <c r="L90" s="426"/>
      <c r="M90" s="426"/>
      <c r="N90" s="426"/>
      <c r="O90" s="426"/>
      <c r="P90" s="426"/>
      <c r="Q90" s="426"/>
      <c r="R90" s="426"/>
      <c r="S90" s="426"/>
      <c r="T90" s="426"/>
      <c r="U90" s="426"/>
      <c r="V90" s="426"/>
      <c r="W90" s="426"/>
      <c r="X90" s="426"/>
      <c r="Y90" s="426"/>
      <c r="Z90" s="426"/>
      <c r="AA90" s="426"/>
      <c r="AB90" s="426"/>
      <c r="AC90" s="426"/>
      <c r="AD90" s="426"/>
      <c r="AE90" s="426"/>
      <c r="AF90" s="426"/>
      <c r="AG90" s="426"/>
      <c r="AH90" s="426"/>
      <c r="AI90" s="426"/>
      <c r="AJ90" s="426"/>
    </row>
    <row r="91" spans="1:36">
      <c r="D91" s="426"/>
      <c r="E91" s="426"/>
      <c r="F91" s="426"/>
      <c r="G91" s="426"/>
      <c r="H91" s="426"/>
      <c r="I91" s="426"/>
      <c r="J91" s="426"/>
      <c r="K91" s="426"/>
      <c r="L91" s="426"/>
      <c r="M91" s="426"/>
      <c r="N91" s="426"/>
      <c r="O91" s="426"/>
      <c r="P91" s="426"/>
      <c r="Q91" s="426"/>
      <c r="R91" s="426"/>
      <c r="S91" s="426"/>
      <c r="T91" s="426"/>
      <c r="U91" s="426"/>
      <c r="V91" s="426"/>
      <c r="W91" s="426"/>
      <c r="X91" s="426"/>
      <c r="Y91" s="426"/>
      <c r="Z91" s="426"/>
      <c r="AA91" s="426"/>
      <c r="AB91" s="426"/>
      <c r="AC91" s="426"/>
      <c r="AD91" s="426"/>
      <c r="AE91" s="426"/>
      <c r="AF91" s="426"/>
      <c r="AG91" s="426"/>
      <c r="AH91" s="426"/>
      <c r="AI91" s="426"/>
      <c r="AJ91" s="426"/>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94B4B-B46E-4D32-ADDA-F6DA1D26ECD3}">
  <sheetPr>
    <tabColor theme="3" tint="-0.249977111117893"/>
  </sheetPr>
  <dimension ref="A1:AN226"/>
  <sheetViews>
    <sheetView workbookViewId="0"/>
  </sheetViews>
  <sheetFormatPr defaultColWidth="6.88671875" defaultRowHeight="13.5" outlineLevelRow="1"/>
  <cols>
    <col min="1" max="1" width="1.6640625" style="31" customWidth="1"/>
    <col min="2" max="4" width="1.6640625" style="18" customWidth="1"/>
    <col min="5" max="5" width="39.44140625" style="18" customWidth="1"/>
    <col min="6" max="38" width="9.88671875" style="18" customWidth="1"/>
    <col min="39" max="39" width="1.6640625" style="18" customWidth="1"/>
    <col min="40" max="40" width="1.6640625" style="31" customWidth="1"/>
    <col min="41" max="16384" width="6.88671875" style="18"/>
  </cols>
  <sheetData>
    <row r="1" spans="2:38" s="31" customFormat="1"/>
    <row r="2" spans="2:38" ht="51" customHeight="1">
      <c r="B2" s="32"/>
      <c r="C2" s="33" t="s">
        <v>555</v>
      </c>
      <c r="E2" s="34"/>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row>
    <row r="3" spans="2:38">
      <c r="E3" s="404" t="s">
        <v>201</v>
      </c>
      <c r="F3" s="405" t="s">
        <v>541</v>
      </c>
      <c r="G3" s="37"/>
      <c r="H3" s="593" t="s">
        <v>724</v>
      </c>
      <c r="I3" s="594" t="s">
        <v>442</v>
      </c>
      <c r="J3" s="37"/>
      <c r="K3" s="37"/>
      <c r="L3" s="37"/>
      <c r="M3" s="38"/>
      <c r="N3" s="38"/>
      <c r="O3" s="38"/>
      <c r="P3" s="38"/>
      <c r="Q3" s="38"/>
      <c r="R3" s="38"/>
      <c r="S3" s="38"/>
      <c r="T3" s="38"/>
      <c r="U3" s="38"/>
      <c r="V3" s="38"/>
      <c r="W3" s="38"/>
    </row>
    <row r="4" spans="2:38">
      <c r="E4" s="404" t="s">
        <v>542</v>
      </c>
      <c r="F4" s="405" t="s">
        <v>398</v>
      </c>
      <c r="G4" s="37"/>
      <c r="H4" s="593" t="s">
        <v>725</v>
      </c>
      <c r="I4" s="40">
        <v>0.1</v>
      </c>
      <c r="J4" s="37"/>
      <c r="K4" s="37"/>
      <c r="L4" s="37"/>
      <c r="M4" s="38"/>
      <c r="N4" s="38"/>
      <c r="O4" s="38"/>
      <c r="P4" s="38"/>
      <c r="Q4" s="38"/>
      <c r="R4" s="38"/>
      <c r="S4" s="38"/>
      <c r="T4" s="38"/>
      <c r="U4" s="38"/>
      <c r="V4" s="38"/>
      <c r="W4" s="38"/>
    </row>
    <row r="5" spans="2:38">
      <c r="E5" s="404" t="s">
        <v>543</v>
      </c>
      <c r="F5" s="406">
        <v>79694.468401959239</v>
      </c>
      <c r="G5" s="37"/>
      <c r="I5" s="37"/>
      <c r="J5" s="37"/>
      <c r="K5" s="37"/>
      <c r="L5" s="39"/>
      <c r="M5" s="38"/>
      <c r="N5" s="38"/>
      <c r="O5" s="38"/>
      <c r="P5" s="38"/>
      <c r="Q5" s="38"/>
      <c r="R5" s="38"/>
      <c r="S5" s="38"/>
      <c r="T5" s="38"/>
      <c r="U5" s="38"/>
      <c r="V5" s="38"/>
      <c r="W5" s="38"/>
    </row>
    <row r="6" spans="2:38">
      <c r="E6" s="407" t="s">
        <v>687</v>
      </c>
      <c r="F6" s="408">
        <v>0.16081939251394095</v>
      </c>
      <c r="G6" s="37"/>
      <c r="I6" s="37"/>
      <c r="J6" s="41"/>
      <c r="K6" s="37"/>
      <c r="L6" s="37"/>
      <c r="M6" s="37"/>
      <c r="N6" s="37"/>
      <c r="O6" s="37"/>
      <c r="P6" s="37"/>
      <c r="Q6" s="38"/>
      <c r="R6" s="38"/>
      <c r="S6" s="38"/>
      <c r="T6" s="38"/>
      <c r="U6" s="38"/>
      <c r="V6" s="38"/>
      <c r="W6" s="38"/>
    </row>
    <row r="7" spans="2:38">
      <c r="E7" s="407" t="s">
        <v>688</v>
      </c>
      <c r="F7" s="408">
        <v>0.16081939251394095</v>
      </c>
      <c r="G7" s="37"/>
      <c r="I7" s="37"/>
      <c r="J7" s="41"/>
      <c r="K7" s="37"/>
      <c r="L7" s="37"/>
      <c r="M7" s="37"/>
      <c r="N7" s="37"/>
      <c r="O7" s="37"/>
      <c r="P7" s="37"/>
      <c r="Q7" s="38"/>
      <c r="R7" s="38"/>
      <c r="S7" s="38"/>
      <c r="T7" s="38"/>
      <c r="U7" s="38"/>
      <c r="V7" s="38"/>
      <c r="W7" s="38"/>
    </row>
    <row r="8" spans="2:38">
      <c r="E8" s="404" t="s">
        <v>544</v>
      </c>
      <c r="F8" s="409">
        <v>6.6836719425127207</v>
      </c>
      <c r="G8" s="37"/>
      <c r="I8" s="37"/>
      <c r="J8" s="40"/>
      <c r="K8" s="37"/>
      <c r="L8" s="37"/>
      <c r="M8" s="37"/>
      <c r="N8" s="37"/>
      <c r="O8" s="37"/>
      <c r="P8" s="37"/>
      <c r="Q8" s="38"/>
      <c r="R8" s="38"/>
      <c r="S8" s="38"/>
      <c r="T8" s="38"/>
      <c r="U8" s="38"/>
      <c r="V8" s="38"/>
      <c r="W8" s="38"/>
    </row>
    <row r="9" spans="2:38">
      <c r="E9" s="404" t="s">
        <v>545</v>
      </c>
      <c r="F9" s="410">
        <v>0.22369365940083283</v>
      </c>
      <c r="G9" s="41">
        <v>10</v>
      </c>
      <c r="I9" s="41"/>
      <c r="J9" s="301"/>
      <c r="K9" s="301"/>
      <c r="L9" s="301"/>
      <c r="M9" s="301"/>
      <c r="N9" s="301"/>
      <c r="O9" s="301"/>
      <c r="P9" s="301"/>
      <c r="Q9" s="301"/>
      <c r="R9" s="301"/>
      <c r="S9" s="301"/>
      <c r="T9" s="301"/>
      <c r="U9" s="301"/>
      <c r="V9" s="301"/>
      <c r="W9" s="301"/>
    </row>
    <row r="10" spans="2:38" ht="3.75" customHeight="1">
      <c r="E10" s="36"/>
      <c r="F10" s="37"/>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2"/>
      <c r="AJ10" s="302"/>
      <c r="AK10" s="302"/>
      <c r="AL10" s="302"/>
    </row>
    <row r="11" spans="2:38" outlineLevel="1">
      <c r="E11" s="42" t="s">
        <v>399</v>
      </c>
      <c r="F11" s="303"/>
      <c r="G11" s="304">
        <v>0</v>
      </c>
      <c r="H11" s="304">
        <v>0</v>
      </c>
      <c r="I11" s="304">
        <v>8.8476769649560172</v>
      </c>
      <c r="J11" s="304">
        <v>8.1026311808887819</v>
      </c>
      <c r="K11" s="304">
        <v>8.0348188868281802</v>
      </c>
      <c r="L11" s="304">
        <v>7.9708300340423186</v>
      </c>
      <c r="M11" s="304">
        <v>7.9128304458394432</v>
      </c>
      <c r="N11" s="304">
        <v>7.866728491129825</v>
      </c>
      <c r="O11" s="304">
        <v>7.8203878182415405</v>
      </c>
      <c r="P11" s="304">
        <v>7.7735996531237657</v>
      </c>
      <c r="Q11" s="304">
        <v>7.7263506986353168</v>
      </c>
      <c r="R11" s="304">
        <v>7.6824768993812427</v>
      </c>
      <c r="S11" s="304">
        <v>7.6384759480007443</v>
      </c>
      <c r="T11" s="304">
        <v>7.594356630073225</v>
      </c>
      <c r="U11" s="304">
        <v>7.5501281181657642</v>
      </c>
      <c r="V11" s="304">
        <v>7.5057999844324392</v>
      </c>
      <c r="W11" s="304">
        <v>7.461382213594435</v>
      </c>
      <c r="X11" s="304">
        <v>7.4168852163122043</v>
      </c>
      <c r="Y11" s="304">
        <v>7.3723198429612946</v>
      </c>
      <c r="Z11" s="304">
        <v>7.3276973978237994</v>
      </c>
      <c r="AA11" s="304">
        <v>7.2830296537077626</v>
      </c>
      <c r="AB11" s="304">
        <v>7.2383288670071941</v>
      </c>
      <c r="AC11" s="304">
        <v>7.1936077932157669</v>
      </c>
      <c r="AD11" s="304">
        <v>7.1488797029076139</v>
      </c>
      <c r="AE11" s="304">
        <v>7.1041583981990843</v>
      </c>
      <c r="AF11" s="304">
        <v>7.059458229705676</v>
      </c>
      <c r="AG11" s="304">
        <v>7.0147941140088435</v>
      </c>
      <c r="AH11" s="304">
        <v>6.9701815516477375</v>
      </c>
      <c r="AI11" s="304">
        <v>6.9256366456514762</v>
      </c>
      <c r="AJ11" s="304">
        <v>6.881176120627897</v>
      </c>
      <c r="AK11" s="304">
        <v>6.8368173424253058</v>
      </c>
      <c r="AL11" s="304">
        <v>6.7925783383841942</v>
      </c>
    </row>
    <row r="12" spans="2:38" outlineLevel="1">
      <c r="E12" s="43" t="s">
        <v>400</v>
      </c>
      <c r="F12" s="305"/>
      <c r="G12" s="306">
        <v>0</v>
      </c>
      <c r="H12" s="306">
        <v>0</v>
      </c>
      <c r="I12" s="306">
        <v>1.189192908084302</v>
      </c>
      <c r="J12" s="306">
        <v>0.42555692526912176</v>
      </c>
      <c r="K12" s="306">
        <v>0.42025010181013123</v>
      </c>
      <c r="L12" s="306">
        <v>0.41209410463740581</v>
      </c>
      <c r="M12" s="306">
        <v>0.40930291345648395</v>
      </c>
      <c r="N12" s="306">
        <v>0.41655625536460211</v>
      </c>
      <c r="O12" s="306">
        <v>0.42400559742231286</v>
      </c>
      <c r="P12" s="306">
        <v>0.43148562540292112</v>
      </c>
      <c r="Q12" s="306">
        <v>0.43898908552729438</v>
      </c>
      <c r="R12" s="306">
        <v>0.44954693714882782</v>
      </c>
      <c r="S12" s="306">
        <v>0.4603692879001216</v>
      </c>
      <c r="T12" s="306">
        <v>0.47146302802669082</v>
      </c>
      <c r="U12" s="306">
        <v>0.48283523358684821</v>
      </c>
      <c r="V12" s="306">
        <v>0.49449317160819767</v>
      </c>
      <c r="W12" s="306">
        <v>0.50644430539046248</v>
      </c>
      <c r="X12" s="306">
        <v>0.51869629995887545</v>
      </c>
      <c r="Y12" s="306">
        <v>0.53125702767247496</v>
      </c>
      <c r="Z12" s="306">
        <v>0.54413457399177911</v>
      </c>
      <c r="AA12" s="306">
        <v>0.55733724341044488</v>
      </c>
      <c r="AB12" s="306">
        <v>0.57087356555564883</v>
      </c>
      <c r="AC12" s="306">
        <v>0.58475230146206691</v>
      </c>
      <c r="AD12" s="306">
        <v>0.59898245002447248</v>
      </c>
      <c r="AE12" s="306">
        <v>0.61357325463412082</v>
      </c>
      <c r="AF12" s="306">
        <v>0.62853421000423704</v>
      </c>
      <c r="AG12" s="306">
        <v>0.64387506919007864</v>
      </c>
      <c r="AH12" s="306">
        <v>0.65960585080920986</v>
      </c>
      <c r="AI12" s="306">
        <v>0.67573684646778354</v>
      </c>
      <c r="AJ12" s="306">
        <v>0.69227862839880028</v>
      </c>
      <c r="AK12" s="306">
        <v>0.70924205731848744</v>
      </c>
      <c r="AL12" s="306">
        <v>0.72663829050711937</v>
      </c>
    </row>
    <row r="13" spans="2:38" outlineLevel="1">
      <c r="E13" s="44" t="s">
        <v>401</v>
      </c>
      <c r="F13" s="307"/>
      <c r="G13" s="308">
        <v>0</v>
      </c>
      <c r="H13" s="308">
        <v>0</v>
      </c>
      <c r="I13" s="308">
        <v>10.036869873040319</v>
      </c>
      <c r="J13" s="308">
        <v>8.5281881061579039</v>
      </c>
      <c r="K13" s="308">
        <v>8.4550689886383115</v>
      </c>
      <c r="L13" s="308">
        <v>8.3829241386797246</v>
      </c>
      <c r="M13" s="308">
        <v>8.3221333592959272</v>
      </c>
      <c r="N13" s="308">
        <v>8.2832847464944273</v>
      </c>
      <c r="O13" s="308">
        <v>8.2443934156638541</v>
      </c>
      <c r="P13" s="308">
        <v>8.2050852785266866</v>
      </c>
      <c r="Q13" s="308">
        <v>8.1653397841626116</v>
      </c>
      <c r="R13" s="308">
        <v>8.1320238365300703</v>
      </c>
      <c r="S13" s="308">
        <v>8.0988452359008658</v>
      </c>
      <c r="T13" s="308">
        <v>8.0658196580999153</v>
      </c>
      <c r="U13" s="308">
        <v>8.0329633517526133</v>
      </c>
      <c r="V13" s="308">
        <v>8.0002931560406374</v>
      </c>
      <c r="W13" s="308">
        <v>7.9678265189848974</v>
      </c>
      <c r="X13" s="308">
        <v>7.9355815162710801</v>
      </c>
      <c r="Y13" s="308">
        <v>7.9035768706337697</v>
      </c>
      <c r="Z13" s="308">
        <v>7.8718319718155785</v>
      </c>
      <c r="AA13" s="308">
        <v>7.8403668971182077</v>
      </c>
      <c r="AB13" s="308">
        <v>7.8092024325628433</v>
      </c>
      <c r="AC13" s="308">
        <v>7.7783600946778337</v>
      </c>
      <c r="AD13" s="308">
        <v>7.7478621529320861</v>
      </c>
      <c r="AE13" s="308">
        <v>7.7177316528332049</v>
      </c>
      <c r="AF13" s="308">
        <v>7.6879924397099133</v>
      </c>
      <c r="AG13" s="308">
        <v>7.6586691831989224</v>
      </c>
      <c r="AH13" s="308">
        <v>7.6297874024569472</v>
      </c>
      <c r="AI13" s="308">
        <v>7.6013734921192597</v>
      </c>
      <c r="AJ13" s="308">
        <v>7.5734547490266975</v>
      </c>
      <c r="AK13" s="308">
        <v>7.5460593997437933</v>
      </c>
      <c r="AL13" s="308">
        <v>7.5192166288913134</v>
      </c>
    </row>
    <row r="14" spans="2:38" ht="3.75" customHeight="1" outlineLevel="1">
      <c r="E14" s="36"/>
      <c r="F14" s="37"/>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row>
    <row r="15" spans="2:38" outlineLevel="1">
      <c r="E15" s="42" t="s">
        <v>402</v>
      </c>
      <c r="F15" s="303"/>
      <c r="G15" s="304">
        <v>0</v>
      </c>
      <c r="H15" s="304">
        <v>0</v>
      </c>
      <c r="I15" s="304">
        <v>8.7238928206471389</v>
      </c>
      <c r="J15" s="304">
        <v>7.980429678569978</v>
      </c>
      <c r="K15" s="304">
        <v>7.9142182268823387</v>
      </c>
      <c r="L15" s="304">
        <v>7.8518486261567269</v>
      </c>
      <c r="M15" s="304">
        <v>7.7954869114127963</v>
      </c>
      <c r="N15" s="304">
        <v>7.7510416657069001</v>
      </c>
      <c r="O15" s="304">
        <v>7.7063767539758814</v>
      </c>
      <c r="P15" s="304">
        <v>7.6612836212686783</v>
      </c>
      <c r="Q15" s="304">
        <v>7.6157491920635234</v>
      </c>
      <c r="R15" s="304">
        <v>7.5736096351335025</v>
      </c>
      <c r="S15" s="304">
        <v>7.5313628698637824</v>
      </c>
      <c r="T15" s="304">
        <v>7.4890179111873181</v>
      </c>
      <c r="U15" s="304">
        <v>7.4465841636622976</v>
      </c>
      <c r="V15" s="304">
        <v>7.4040714341018106</v>
      </c>
      <c r="W15" s="304">
        <v>7.3614899445846316</v>
      </c>
      <c r="X15" s="304">
        <v>7.3188503458584169</v>
      </c>
      <c r="Y15" s="304">
        <v>7.2761637311469158</v>
      </c>
      <c r="Z15" s="304">
        <v>7.2334416503731838</v>
      </c>
      <c r="AA15" s="304">
        <v>7.1906961248110939</v>
      </c>
      <c r="AB15" s="304">
        <v>7.1479396621778424</v>
      </c>
      <c r="AC15" s="304">
        <v>7.1051852721805044</v>
      </c>
      <c r="AD15" s="304">
        <v>7.0624464825300759</v>
      </c>
      <c r="AE15" s="304">
        <v>7.0197373554368312</v>
      </c>
      <c r="AF15" s="304">
        <v>6.9770725046012867</v>
      </c>
      <c r="AG15" s="304">
        <v>6.9344671127153799</v>
      </c>
      <c r="AH15" s="304">
        <v>6.891936949489029</v>
      </c>
      <c r="AI15" s="304">
        <v>6.8494983902175708</v>
      </c>
      <c r="AJ15" s="304">
        <v>6.8071684349061279</v>
      </c>
      <c r="AK15" s="304">
        <v>6.7649647279673655</v>
      </c>
      <c r="AL15" s="304">
        <v>6.7229055785096143</v>
      </c>
    </row>
    <row r="16" spans="2:38" outlineLevel="1">
      <c r="E16" s="43" t="s">
        <v>403</v>
      </c>
      <c r="F16" s="305"/>
      <c r="G16" s="306">
        <v>0</v>
      </c>
      <c r="H16" s="306">
        <v>0</v>
      </c>
      <c r="I16" s="306">
        <v>1.189192908084302</v>
      </c>
      <c r="J16" s="306">
        <v>0.42555692526912181</v>
      </c>
      <c r="K16" s="306">
        <v>0.42025010181013117</v>
      </c>
      <c r="L16" s="306">
        <v>0.41209410463740581</v>
      </c>
      <c r="M16" s="306">
        <v>0.40930291345648395</v>
      </c>
      <c r="N16" s="306">
        <v>0.41655625536460211</v>
      </c>
      <c r="O16" s="306">
        <v>0.42400559742231281</v>
      </c>
      <c r="P16" s="306">
        <v>0.43148562540292112</v>
      </c>
      <c r="Q16" s="306">
        <v>0.43898908552729443</v>
      </c>
      <c r="R16" s="306">
        <v>0.44954693714882787</v>
      </c>
      <c r="S16" s="306">
        <v>0.46036928790012172</v>
      </c>
      <c r="T16" s="306">
        <v>0.47146302802669082</v>
      </c>
      <c r="U16" s="306">
        <v>0.48283523358684832</v>
      </c>
      <c r="V16" s="306">
        <v>0.49449317160819767</v>
      </c>
      <c r="W16" s="306">
        <v>0.50644430539046248</v>
      </c>
      <c r="X16" s="306">
        <v>0.51869629995887556</v>
      </c>
      <c r="Y16" s="306">
        <v>0.53125702767247496</v>
      </c>
      <c r="Z16" s="306">
        <v>0.54413457399177922</v>
      </c>
      <c r="AA16" s="306">
        <v>0.55733724341044488</v>
      </c>
      <c r="AB16" s="306">
        <v>0.57087356555564883</v>
      </c>
      <c r="AC16" s="306">
        <v>0.58475230146206691</v>
      </c>
      <c r="AD16" s="306">
        <v>0.59898245002447248</v>
      </c>
      <c r="AE16" s="306">
        <v>0.61357325463412093</v>
      </c>
      <c r="AF16" s="306">
        <v>0.62853421000423715</v>
      </c>
      <c r="AG16" s="306">
        <v>0.64387506919007875</v>
      </c>
      <c r="AH16" s="306">
        <v>0.65960585080920986</v>
      </c>
      <c r="AI16" s="306">
        <v>0.67573684646778354</v>
      </c>
      <c r="AJ16" s="306">
        <v>0.69227862839880039</v>
      </c>
      <c r="AK16" s="306">
        <v>0.70924205731848744</v>
      </c>
      <c r="AL16" s="306">
        <v>0.72663829050711937</v>
      </c>
    </row>
    <row r="17" spans="1:40" outlineLevel="1">
      <c r="E17" s="44" t="s">
        <v>404</v>
      </c>
      <c r="F17" s="307"/>
      <c r="G17" s="308"/>
      <c r="H17" s="308"/>
      <c r="I17" s="308">
        <v>9.9130857287314402</v>
      </c>
      <c r="J17" s="308">
        <v>8.4059866038391</v>
      </c>
      <c r="K17" s="308">
        <v>8.3344683286924699</v>
      </c>
      <c r="L17" s="308">
        <v>8.2639427307941329</v>
      </c>
      <c r="M17" s="308">
        <v>8.2047898248692803</v>
      </c>
      <c r="N17" s="308">
        <v>8.1675979210715024</v>
      </c>
      <c r="O17" s="308">
        <v>8.130382351398195</v>
      </c>
      <c r="P17" s="308">
        <v>8.0927692466715992</v>
      </c>
      <c r="Q17" s="308">
        <v>8.0547382775908183</v>
      </c>
      <c r="R17" s="308">
        <v>8.0231565722823301</v>
      </c>
      <c r="S17" s="308">
        <v>7.991732157763904</v>
      </c>
      <c r="T17" s="308">
        <v>7.9604809392140092</v>
      </c>
      <c r="U17" s="308">
        <v>7.9294193972491458</v>
      </c>
      <c r="V17" s="308">
        <v>7.8985646057100078</v>
      </c>
      <c r="W17" s="308">
        <v>7.8679342499750939</v>
      </c>
      <c r="X17" s="308">
        <v>7.8375466458172927</v>
      </c>
      <c r="Y17" s="308">
        <v>7.8074207588193909</v>
      </c>
      <c r="Z17" s="308">
        <v>7.7775762243649629</v>
      </c>
      <c r="AA17" s="308">
        <v>7.748033368221539</v>
      </c>
      <c r="AB17" s="308">
        <v>7.7188132277334915</v>
      </c>
      <c r="AC17" s="308">
        <v>7.6899375736425712</v>
      </c>
      <c r="AD17" s="308">
        <v>7.6614289325545482</v>
      </c>
      <c r="AE17" s="308">
        <v>7.6333106100709518</v>
      </c>
      <c r="AF17" s="308">
        <v>7.605606714605524</v>
      </c>
      <c r="AG17" s="308">
        <v>7.5783421819054588</v>
      </c>
      <c r="AH17" s="308">
        <v>7.5515428002982388</v>
      </c>
      <c r="AI17" s="308">
        <v>7.5252352366853543</v>
      </c>
      <c r="AJ17" s="308">
        <v>7.4994470633049284</v>
      </c>
      <c r="AK17" s="308">
        <v>7.4742067852858529</v>
      </c>
      <c r="AL17" s="308">
        <v>7.4495438690167335</v>
      </c>
    </row>
    <row r="18" spans="1:40" ht="3.75" customHeight="1" outlineLevel="1">
      <c r="E18" s="36"/>
      <c r="F18" s="37"/>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40" outlineLevel="1">
      <c r="E19" s="42" t="s">
        <v>375</v>
      </c>
      <c r="F19" s="303"/>
      <c r="G19" s="304">
        <v>0</v>
      </c>
      <c r="H19" s="304">
        <v>0</v>
      </c>
      <c r="I19" s="304">
        <v>0</v>
      </c>
      <c r="J19" s="304">
        <v>143.95135083539319</v>
      </c>
      <c r="K19" s="304">
        <v>136.20358367332534</v>
      </c>
      <c r="L19" s="304">
        <v>130.2159483075028</v>
      </c>
      <c r="M19" s="304">
        <v>125.47080088542657</v>
      </c>
      <c r="N19" s="304">
        <v>122.81424622798433</v>
      </c>
      <c r="O19" s="304">
        <v>120.74582949893821</v>
      </c>
      <c r="P19" s="304">
        <v>118.81473308821182</v>
      </c>
      <c r="Q19" s="304">
        <v>117.01219785806866</v>
      </c>
      <c r="R19" s="304">
        <v>115.33079086263885</v>
      </c>
      <c r="S19" s="304">
        <v>113.76250065066985</v>
      </c>
      <c r="T19" s="304">
        <v>112.30047364272498</v>
      </c>
      <c r="U19" s="304">
        <v>110.93839026327097</v>
      </c>
      <c r="V19" s="304">
        <v>109.67042244536327</v>
      </c>
      <c r="W19" s="304">
        <v>108.4911949490768</v>
      </c>
      <c r="X19" s="304">
        <v>107.39575013945475</v>
      </c>
      <c r="Y19" s="304">
        <v>106.37951590529595</v>
      </c>
      <c r="Z19" s="304">
        <v>105.43827643196464</v>
      </c>
      <c r="AA19" s="304">
        <v>104.56814556998556</v>
      </c>
      <c r="AB19" s="304">
        <v>103.76554256684429</v>
      </c>
      <c r="AC19" s="304">
        <v>103.02716995246402</v>
      </c>
      <c r="AD19" s="304">
        <v>102.34999338956072</v>
      </c>
      <c r="AE19" s="304">
        <v>101.73122331873726</v>
      </c>
      <c r="AF19" s="304">
        <v>101.16829824499169</v>
      </c>
      <c r="AG19" s="304">
        <v>100.65886952748082</v>
      </c>
      <c r="AH19" s="304">
        <v>100.20078754807685</v>
      </c>
      <c r="AI19" s="304">
        <v>99.792089146642184</v>
      </c>
      <c r="AJ19" s="304">
        <v>99.43098622216317</v>
      </c>
      <c r="AK19" s="304">
        <v>99.115855409059719</v>
      </c>
      <c r="AL19" s="304">
        <v>98.927753382814956</v>
      </c>
    </row>
    <row r="20" spans="1:40" outlineLevel="1">
      <c r="E20" s="43" t="s">
        <v>376</v>
      </c>
      <c r="F20" s="305"/>
      <c r="G20" s="306">
        <v>0</v>
      </c>
      <c r="H20" s="306">
        <v>0</v>
      </c>
      <c r="I20" s="306">
        <v>0</v>
      </c>
      <c r="J20" s="306">
        <v>0.42555692526912176</v>
      </c>
      <c r="K20" s="306">
        <v>0.42025010181013123</v>
      </c>
      <c r="L20" s="306">
        <v>0.41209410463740581</v>
      </c>
      <c r="M20" s="306">
        <v>0.40930291345648395</v>
      </c>
      <c r="N20" s="306">
        <v>0.41655625536460211</v>
      </c>
      <c r="O20" s="306">
        <v>0.42400559742231286</v>
      </c>
      <c r="P20" s="306">
        <v>0.43148562540292112</v>
      </c>
      <c r="Q20" s="306">
        <v>0.43898908552729438</v>
      </c>
      <c r="R20" s="306">
        <v>0.44954693714882782</v>
      </c>
      <c r="S20" s="306">
        <v>0.4603692879001216</v>
      </c>
      <c r="T20" s="306">
        <v>0.47146302802669077</v>
      </c>
      <c r="U20" s="306">
        <v>0.48283523358684821</v>
      </c>
      <c r="V20" s="306">
        <v>0.49449317160819767</v>
      </c>
      <c r="W20" s="306">
        <v>0.50644430539046248</v>
      </c>
      <c r="X20" s="306">
        <v>0.51869629995887545</v>
      </c>
      <c r="Y20" s="306">
        <v>0.53125702767247496</v>
      </c>
      <c r="Z20" s="306">
        <v>0.544134573991779</v>
      </c>
      <c r="AA20" s="306">
        <v>0.55733724341044477</v>
      </c>
      <c r="AB20" s="306">
        <v>0.57087356555564883</v>
      </c>
      <c r="AC20" s="306">
        <v>0.58475230146206691</v>
      </c>
      <c r="AD20" s="306">
        <v>0.59898245002447237</v>
      </c>
      <c r="AE20" s="306">
        <v>0.61357325463412093</v>
      </c>
      <c r="AF20" s="306">
        <v>0.62853421000423704</v>
      </c>
      <c r="AG20" s="306">
        <v>0.64387506919007875</v>
      </c>
      <c r="AH20" s="306">
        <v>0.65960585080920986</v>
      </c>
      <c r="AI20" s="306">
        <v>0.67573684646778354</v>
      </c>
      <c r="AJ20" s="306">
        <v>0.69227862839880028</v>
      </c>
      <c r="AK20" s="306">
        <v>0.70924205731848733</v>
      </c>
      <c r="AL20" s="306">
        <v>0.72663829050711937</v>
      </c>
    </row>
    <row r="21" spans="1:40" outlineLevel="1">
      <c r="E21" s="44" t="s">
        <v>377</v>
      </c>
      <c r="F21" s="307"/>
      <c r="G21" s="308">
        <v>0</v>
      </c>
      <c r="H21" s="308">
        <v>0</v>
      </c>
      <c r="I21" s="308">
        <v>0</v>
      </c>
      <c r="J21" s="308">
        <v>144.37690776066231</v>
      </c>
      <c r="K21" s="308">
        <v>136.62383377513547</v>
      </c>
      <c r="L21" s="308">
        <v>130.62804241214022</v>
      </c>
      <c r="M21" s="308">
        <v>125.88010379888306</v>
      </c>
      <c r="N21" s="308">
        <v>123.23080248334892</v>
      </c>
      <c r="O21" s="308">
        <v>121.16983509636052</v>
      </c>
      <c r="P21" s="308">
        <v>119.24621871361475</v>
      </c>
      <c r="Q21" s="308">
        <v>117.45118694359596</v>
      </c>
      <c r="R21" s="308">
        <v>115.78033779978767</v>
      </c>
      <c r="S21" s="308">
        <v>114.22286993856997</v>
      </c>
      <c r="T21" s="308">
        <v>112.77193667075167</v>
      </c>
      <c r="U21" s="308">
        <v>111.42122549685783</v>
      </c>
      <c r="V21" s="308">
        <v>110.16491561697147</v>
      </c>
      <c r="W21" s="308">
        <v>108.99763925446726</v>
      </c>
      <c r="X21" s="308">
        <v>107.91444643941362</v>
      </c>
      <c r="Y21" s="308">
        <v>106.91077293296843</v>
      </c>
      <c r="Z21" s="308">
        <v>105.98241100595642</v>
      </c>
      <c r="AA21" s="308">
        <v>105.125482813396</v>
      </c>
      <c r="AB21" s="308">
        <v>104.33641613239993</v>
      </c>
      <c r="AC21" s="308">
        <v>103.61192225392608</v>
      </c>
      <c r="AD21" s="308">
        <v>102.9489758395852</v>
      </c>
      <c r="AE21" s="308">
        <v>102.34479657337138</v>
      </c>
      <c r="AF21" s="308">
        <v>101.79683245499592</v>
      </c>
      <c r="AG21" s="308">
        <v>101.30274459667089</v>
      </c>
      <c r="AH21" s="308">
        <v>100.86039339888606</v>
      </c>
      <c r="AI21" s="308">
        <v>100.46782599310997</v>
      </c>
      <c r="AJ21" s="308">
        <v>100.12326485056197</v>
      </c>
      <c r="AK21" s="308">
        <v>99.82509746637821</v>
      </c>
      <c r="AL21" s="308">
        <v>99.654391673322081</v>
      </c>
    </row>
    <row r="22" spans="1:40" ht="3.75" customHeight="1" outlineLevel="1">
      <c r="E22" s="36"/>
      <c r="F22" s="37"/>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c r="AJ22" s="302"/>
      <c r="AK22" s="302"/>
      <c r="AL22" s="302"/>
    </row>
    <row r="23" spans="1:40" outlineLevel="1">
      <c r="E23" s="42" t="s">
        <v>378</v>
      </c>
      <c r="F23" s="303"/>
      <c r="G23" s="304">
        <v>0</v>
      </c>
      <c r="H23" s="304">
        <v>0</v>
      </c>
      <c r="I23" s="304">
        <v>0</v>
      </c>
      <c r="J23" s="304">
        <v>0</v>
      </c>
      <c r="K23" s="304">
        <v>25.901530822138881</v>
      </c>
      <c r="L23" s="304">
        <v>23.77194965348674</v>
      </c>
      <c r="M23" s="304">
        <v>22.956218742103733</v>
      </c>
      <c r="N23" s="304">
        <v>22.618671677894032</v>
      </c>
      <c r="O23" s="304">
        <v>22.30105058267133</v>
      </c>
      <c r="P23" s="304">
        <v>22.002130477495545</v>
      </c>
      <c r="Q23" s="304">
        <v>21.720808319870692</v>
      </c>
      <c r="R23" s="304">
        <v>21.527562380097454</v>
      </c>
      <c r="S23" s="304">
        <v>21.349409798403311</v>
      </c>
      <c r="T23" s="304">
        <v>21.185529064420546</v>
      </c>
      <c r="U23" s="304">
        <v>21.03516350035407</v>
      </c>
      <c r="V23" s="304">
        <v>20.897616330503006</v>
      </c>
      <c r="W23" s="304">
        <v>20.772246189779811</v>
      </c>
      <c r="X23" s="304">
        <v>20.658463031677137</v>
      </c>
      <c r="Y23" s="304">
        <v>20.5557244000582</v>
      </c>
      <c r="Z23" s="304">
        <v>20.463532032675339</v>
      </c>
      <c r="AA23" s="304">
        <v>20.381428767495606</v>
      </c>
      <c r="AB23" s="304">
        <v>20.308995725770831</v>
      </c>
      <c r="AC23" s="304">
        <v>20.245849748366414</v>
      </c>
      <c r="AD23" s="304">
        <v>20.191641064188548</v>
      </c>
      <c r="AE23" s="304">
        <v>20.146051171650917</v>
      </c>
      <c r="AF23" s="304">
        <v>20.108790916023032</v>
      </c>
      <c r="AG23" s="304">
        <v>20.079598747225401</v>
      </c>
      <c r="AH23" s="304">
        <v>20.058239144200527</v>
      </c>
      <c r="AI23" s="304">
        <v>20.044501193410788</v>
      </c>
      <c r="AJ23" s="304">
        <v>20.038197310310583</v>
      </c>
      <c r="AK23" s="304">
        <v>20.039162093823865</v>
      </c>
      <c r="AL23" s="304">
        <v>20.047251304942861</v>
      </c>
    </row>
    <row r="24" spans="1:40" outlineLevel="1">
      <c r="E24" s="43" t="s">
        <v>379</v>
      </c>
      <c r="F24" s="305"/>
      <c r="G24" s="306">
        <v>0</v>
      </c>
      <c r="H24" s="306">
        <v>0</v>
      </c>
      <c r="I24" s="306">
        <v>0</v>
      </c>
      <c r="J24" s="306">
        <v>0</v>
      </c>
      <c r="K24" s="306">
        <v>0.42025010181013117</v>
      </c>
      <c r="L24" s="306">
        <v>0.41209410463740581</v>
      </c>
      <c r="M24" s="306">
        <v>0.40930291345648395</v>
      </c>
      <c r="N24" s="306">
        <v>0.41655625536460217</v>
      </c>
      <c r="O24" s="306">
        <v>0.42400559742231281</v>
      </c>
      <c r="P24" s="306">
        <v>0.43148562540292112</v>
      </c>
      <c r="Q24" s="306">
        <v>0.43898908552729443</v>
      </c>
      <c r="R24" s="306">
        <v>0.44954693714882782</v>
      </c>
      <c r="S24" s="306">
        <v>0.46036928790012166</v>
      </c>
      <c r="T24" s="306">
        <v>0.47146302802669082</v>
      </c>
      <c r="U24" s="306">
        <v>0.48283523358684832</v>
      </c>
      <c r="V24" s="306">
        <v>0.49449317160819767</v>
      </c>
      <c r="W24" s="306">
        <v>0.50644430539046248</v>
      </c>
      <c r="X24" s="306">
        <v>0.51869629995887545</v>
      </c>
      <c r="Y24" s="306">
        <v>0.53125702767247496</v>
      </c>
      <c r="Z24" s="306">
        <v>0.54413457399177911</v>
      </c>
      <c r="AA24" s="306">
        <v>0.55733724341044488</v>
      </c>
      <c r="AB24" s="306">
        <v>0.57087356555564883</v>
      </c>
      <c r="AC24" s="306">
        <v>0.58475230146206691</v>
      </c>
      <c r="AD24" s="306">
        <v>0.59898245002447237</v>
      </c>
      <c r="AE24" s="306">
        <v>0.61357325463412093</v>
      </c>
      <c r="AF24" s="306">
        <v>0.62853421000423715</v>
      </c>
      <c r="AG24" s="306">
        <v>0.64387506919007875</v>
      </c>
      <c r="AH24" s="306">
        <v>0.65960585080920997</v>
      </c>
      <c r="AI24" s="306">
        <v>0.67573684646778365</v>
      </c>
      <c r="AJ24" s="306">
        <v>0.69227862839880039</v>
      </c>
      <c r="AK24" s="306">
        <v>0.70924205731848744</v>
      </c>
      <c r="AL24" s="306">
        <v>0.72663829050711948</v>
      </c>
    </row>
    <row r="25" spans="1:40" outlineLevel="1">
      <c r="E25" s="44" t="s">
        <v>380</v>
      </c>
      <c r="F25" s="307"/>
      <c r="G25" s="308">
        <v>0</v>
      </c>
      <c r="H25" s="308">
        <v>0</v>
      </c>
      <c r="I25" s="308">
        <v>0</v>
      </c>
      <c r="J25" s="308">
        <v>0</v>
      </c>
      <c r="K25" s="308">
        <v>26.32178092394901</v>
      </c>
      <c r="L25" s="308">
        <v>24.184043758124144</v>
      </c>
      <c r="M25" s="308">
        <v>23.365521655560215</v>
      </c>
      <c r="N25" s="308">
        <v>23.035227933258632</v>
      </c>
      <c r="O25" s="308">
        <v>22.725056180093642</v>
      </c>
      <c r="P25" s="308">
        <v>22.433616102898466</v>
      </c>
      <c r="Q25" s="308">
        <v>22.159797405397985</v>
      </c>
      <c r="R25" s="308">
        <v>21.977109317246281</v>
      </c>
      <c r="S25" s="308">
        <v>21.809779086303433</v>
      </c>
      <c r="T25" s="308">
        <v>21.656992092447236</v>
      </c>
      <c r="U25" s="308">
        <v>21.517998733940917</v>
      </c>
      <c r="V25" s="308">
        <v>21.392109502111204</v>
      </c>
      <c r="W25" s="308">
        <v>21.278690495170274</v>
      </c>
      <c r="X25" s="308">
        <v>21.177159331636012</v>
      </c>
      <c r="Y25" s="308">
        <v>21.086981427730674</v>
      </c>
      <c r="Z25" s="308">
        <v>21.007666606667119</v>
      </c>
      <c r="AA25" s="308">
        <v>20.93876601090605</v>
      </c>
      <c r="AB25" s="308">
        <v>20.879869291326479</v>
      </c>
      <c r="AC25" s="308">
        <v>20.830602049828482</v>
      </c>
      <c r="AD25" s="308">
        <v>20.790623514213021</v>
      </c>
      <c r="AE25" s="308">
        <v>20.75962442628504</v>
      </c>
      <c r="AF25" s="308">
        <v>20.737325126027269</v>
      </c>
      <c r="AG25" s="308">
        <v>20.723473816415478</v>
      </c>
      <c r="AH25" s="308">
        <v>20.717844995009738</v>
      </c>
      <c r="AI25" s="308">
        <v>20.720238039878573</v>
      </c>
      <c r="AJ25" s="308">
        <v>20.730475938709382</v>
      </c>
      <c r="AK25" s="308">
        <v>20.748404151142353</v>
      </c>
      <c r="AL25" s="308">
        <v>20.77388959544998</v>
      </c>
    </row>
    <row r="26" spans="1:40" ht="3.75" customHeight="1" outlineLevel="1">
      <c r="E26" s="36"/>
      <c r="F26" s="37"/>
      <c r="G26" s="302"/>
      <c r="H26" s="302"/>
      <c r="I26" s="302"/>
      <c r="J26" s="302"/>
      <c r="K26" s="302"/>
      <c r="L26" s="302"/>
      <c r="M26" s="302"/>
      <c r="N26" s="302"/>
      <c r="O26" s="302"/>
      <c r="P26" s="302"/>
      <c r="Q26" s="302"/>
      <c r="R26" s="302"/>
      <c r="S26" s="302"/>
      <c r="T26" s="302"/>
      <c r="U26" s="302"/>
      <c r="V26" s="302"/>
      <c r="W26" s="302"/>
      <c r="X26" s="302"/>
      <c r="Y26" s="302"/>
      <c r="Z26" s="302"/>
      <c r="AA26" s="302"/>
      <c r="AB26" s="302"/>
      <c r="AC26" s="302"/>
      <c r="AD26" s="302"/>
      <c r="AE26" s="302"/>
      <c r="AF26" s="302"/>
      <c r="AG26" s="302"/>
      <c r="AH26" s="302"/>
      <c r="AI26" s="302"/>
      <c r="AJ26" s="302"/>
      <c r="AK26" s="302"/>
      <c r="AL26" s="302"/>
    </row>
    <row r="27" spans="1:40" s="46" customFormat="1" outlineLevel="1">
      <c r="A27" s="45"/>
      <c r="E27" s="47" t="s">
        <v>202</v>
      </c>
      <c r="F27" s="309">
        <v>-2</v>
      </c>
      <c r="G27" s="309">
        <v>-1</v>
      </c>
      <c r="H27" s="309">
        <v>0</v>
      </c>
      <c r="I27" s="309">
        <v>1</v>
      </c>
      <c r="J27" s="309">
        <v>2</v>
      </c>
      <c r="K27" s="309">
        <v>3</v>
      </c>
      <c r="L27" s="309">
        <v>4</v>
      </c>
      <c r="M27" s="309">
        <v>5</v>
      </c>
      <c r="N27" s="309">
        <v>6</v>
      </c>
      <c r="O27" s="309">
        <v>7</v>
      </c>
      <c r="P27" s="309">
        <v>8</v>
      </c>
      <c r="Q27" s="309">
        <v>9</v>
      </c>
      <c r="R27" s="309">
        <v>10</v>
      </c>
      <c r="S27" s="309">
        <v>11</v>
      </c>
      <c r="T27" s="309">
        <v>12</v>
      </c>
      <c r="U27" s="309">
        <v>13</v>
      </c>
      <c r="V27" s="309">
        <v>14</v>
      </c>
      <c r="W27" s="309">
        <v>15</v>
      </c>
      <c r="X27" s="309">
        <v>16</v>
      </c>
      <c r="Y27" s="309">
        <v>17</v>
      </c>
      <c r="Z27" s="309">
        <v>18</v>
      </c>
      <c r="AA27" s="309">
        <v>19</v>
      </c>
      <c r="AB27" s="309">
        <v>20</v>
      </c>
      <c r="AC27" s="309">
        <v>21</v>
      </c>
      <c r="AD27" s="309">
        <v>22</v>
      </c>
      <c r="AE27" s="309">
        <v>23</v>
      </c>
      <c r="AF27" s="309">
        <v>24</v>
      </c>
      <c r="AG27" s="309">
        <v>25</v>
      </c>
      <c r="AH27" s="309">
        <v>26</v>
      </c>
      <c r="AI27" s="309">
        <v>27</v>
      </c>
      <c r="AJ27" s="309">
        <v>28</v>
      </c>
      <c r="AK27" s="309">
        <v>29</v>
      </c>
      <c r="AL27" s="309">
        <v>30</v>
      </c>
      <c r="AN27" s="45"/>
    </row>
    <row r="28" spans="1:40" ht="3.75" customHeight="1" outlineLevel="1">
      <c r="E28" s="36"/>
      <c r="F28" s="37"/>
      <c r="G28" s="302"/>
      <c r="H28" s="302"/>
      <c r="I28" s="302"/>
      <c r="J28" s="302"/>
      <c r="K28" s="302"/>
      <c r="L28" s="302"/>
      <c r="M28" s="302"/>
      <c r="N28" s="302"/>
      <c r="O28" s="302"/>
      <c r="P28" s="302"/>
      <c r="Q28" s="302"/>
      <c r="R28" s="302"/>
      <c r="S28" s="302"/>
      <c r="T28" s="302"/>
      <c r="U28" s="302"/>
      <c r="V28" s="302"/>
      <c r="W28" s="302"/>
      <c r="X28" s="302"/>
      <c r="Y28" s="302"/>
      <c r="Z28" s="302"/>
      <c r="AA28" s="302"/>
      <c r="AB28" s="302"/>
      <c r="AC28" s="302"/>
      <c r="AD28" s="302"/>
      <c r="AE28" s="302"/>
      <c r="AF28" s="302"/>
      <c r="AG28" s="302"/>
      <c r="AH28" s="302"/>
      <c r="AI28" s="302"/>
      <c r="AJ28" s="302"/>
      <c r="AK28" s="302"/>
      <c r="AL28" s="302"/>
    </row>
    <row r="29" spans="1:40" ht="14.25" thickBot="1">
      <c r="E29" s="48" t="s">
        <v>203</v>
      </c>
      <c r="F29" s="49">
        <v>2023</v>
      </c>
      <c r="G29" s="50">
        <v>2024</v>
      </c>
      <c r="H29" s="50">
        <v>2025</v>
      </c>
      <c r="I29" s="50">
        <v>2026</v>
      </c>
      <c r="J29" s="50">
        <v>2027</v>
      </c>
      <c r="K29" s="50">
        <v>2028</v>
      </c>
      <c r="L29" s="50">
        <v>2029</v>
      </c>
      <c r="M29" s="50">
        <v>2030</v>
      </c>
      <c r="N29" s="50">
        <v>2031</v>
      </c>
      <c r="O29" s="50">
        <v>2032</v>
      </c>
      <c r="P29" s="50">
        <v>2033</v>
      </c>
      <c r="Q29" s="50">
        <v>2034</v>
      </c>
      <c r="R29" s="50">
        <v>2035</v>
      </c>
      <c r="S29" s="50">
        <v>2036</v>
      </c>
      <c r="T29" s="50">
        <v>2037</v>
      </c>
      <c r="U29" s="50">
        <v>2038</v>
      </c>
      <c r="V29" s="50">
        <v>2039</v>
      </c>
      <c r="W29" s="50">
        <v>2040</v>
      </c>
      <c r="X29" s="50">
        <v>2041</v>
      </c>
      <c r="Y29" s="50">
        <v>2042</v>
      </c>
      <c r="Z29" s="50">
        <v>2043</v>
      </c>
      <c r="AA29" s="50">
        <v>2044</v>
      </c>
      <c r="AB29" s="50">
        <v>2045</v>
      </c>
      <c r="AC29" s="50">
        <v>2046</v>
      </c>
      <c r="AD29" s="50">
        <v>2047</v>
      </c>
      <c r="AE29" s="50">
        <v>2048</v>
      </c>
      <c r="AF29" s="50">
        <v>2049</v>
      </c>
      <c r="AG29" s="50">
        <v>2050</v>
      </c>
      <c r="AH29" s="50">
        <v>2051</v>
      </c>
      <c r="AI29" s="50">
        <v>2052</v>
      </c>
      <c r="AJ29" s="50">
        <v>2053</v>
      </c>
      <c r="AK29" s="50">
        <v>2054</v>
      </c>
      <c r="AL29" s="50">
        <v>2055</v>
      </c>
    </row>
    <row r="30" spans="1:40" ht="3.75" customHeight="1">
      <c r="E30" s="38"/>
      <c r="F30" s="310"/>
      <c r="G30" s="209"/>
      <c r="H30" s="209"/>
      <c r="I30" s="209"/>
      <c r="J30" s="209"/>
      <c r="K30" s="209"/>
      <c r="L30" s="209"/>
      <c r="M30" s="209"/>
      <c r="N30" s="209"/>
      <c r="O30" s="209"/>
      <c r="P30" s="209"/>
      <c r="Q30" s="209"/>
      <c r="R30" s="209"/>
      <c r="S30" s="209"/>
      <c r="T30" s="209"/>
      <c r="U30" s="209"/>
      <c r="V30" s="209"/>
      <c r="W30" s="209"/>
      <c r="X30" s="209"/>
      <c r="Y30" s="209"/>
      <c r="Z30" s="209"/>
      <c r="AA30" s="209"/>
      <c r="AB30" s="209"/>
      <c r="AC30" s="209"/>
      <c r="AD30" s="209"/>
      <c r="AE30" s="209"/>
      <c r="AF30" s="209"/>
      <c r="AG30" s="209"/>
      <c r="AH30" s="209"/>
      <c r="AI30" s="209"/>
      <c r="AJ30" s="209"/>
      <c r="AK30" s="209"/>
      <c r="AL30" s="209"/>
    </row>
    <row r="31" spans="1:40" outlineLevel="1">
      <c r="C31" s="411"/>
      <c r="E31" s="52" t="s">
        <v>204</v>
      </c>
      <c r="F31" s="311">
        <v>0</v>
      </c>
      <c r="G31" s="312">
        <v>0</v>
      </c>
      <c r="H31" s="312">
        <v>89433.536907000002</v>
      </c>
      <c r="I31" s="312">
        <v>183453.40904</v>
      </c>
      <c r="J31" s="312">
        <v>229316.76129999998</v>
      </c>
      <c r="K31" s="312">
        <v>251816.76129999998</v>
      </c>
      <c r="L31" s="312">
        <v>279316.76130000001</v>
      </c>
      <c r="M31" s="312">
        <v>279316.76130000001</v>
      </c>
      <c r="N31" s="312">
        <v>279316.76130000001</v>
      </c>
      <c r="O31" s="312">
        <v>279316.76130000001</v>
      </c>
      <c r="P31" s="312">
        <v>279316.76130000001</v>
      </c>
      <c r="Q31" s="312">
        <v>279316.76130000001</v>
      </c>
      <c r="R31" s="312">
        <v>279316.76130000001</v>
      </c>
      <c r="S31" s="312">
        <v>279316.76130000001</v>
      </c>
      <c r="T31" s="312">
        <v>279316.76130000001</v>
      </c>
      <c r="U31" s="312">
        <v>279316.76130000001</v>
      </c>
      <c r="V31" s="312">
        <v>279316.76130000001</v>
      </c>
      <c r="W31" s="312">
        <v>279316.76130000001</v>
      </c>
      <c r="X31" s="312">
        <v>279316.76130000001</v>
      </c>
      <c r="Y31" s="312">
        <v>279316.76130000001</v>
      </c>
      <c r="Z31" s="312">
        <v>279316.76130000001</v>
      </c>
      <c r="AA31" s="312">
        <v>279316.76130000001</v>
      </c>
      <c r="AB31" s="312">
        <v>279316.76130000001</v>
      </c>
      <c r="AC31" s="312">
        <v>279316.76130000001</v>
      </c>
      <c r="AD31" s="312">
        <v>279316.76130000001</v>
      </c>
      <c r="AE31" s="312">
        <v>279316.76130000001</v>
      </c>
      <c r="AF31" s="312">
        <v>279316.76130000001</v>
      </c>
      <c r="AG31" s="312">
        <v>279316.76130000001</v>
      </c>
      <c r="AH31" s="312">
        <v>279316.76130000001</v>
      </c>
      <c r="AI31" s="312">
        <v>279316.76130000001</v>
      </c>
      <c r="AJ31" s="312">
        <v>279316.76130000001</v>
      </c>
      <c r="AK31" s="312">
        <v>279316.76130000001</v>
      </c>
      <c r="AL31" s="312">
        <v>279316.76130000001</v>
      </c>
    </row>
    <row r="32" spans="1:40" outlineLevel="1">
      <c r="C32" s="411"/>
      <c r="E32" s="53" t="s">
        <v>205</v>
      </c>
      <c r="F32" s="313">
        <v>0</v>
      </c>
      <c r="G32" s="314">
        <v>89433.536907000002</v>
      </c>
      <c r="H32" s="314">
        <v>94019.872132999997</v>
      </c>
      <c r="I32" s="314">
        <v>45863.352259999992</v>
      </c>
      <c r="J32" s="314">
        <v>22500</v>
      </c>
      <c r="K32" s="314">
        <v>27500</v>
      </c>
      <c r="L32" s="314">
        <v>0</v>
      </c>
      <c r="M32" s="314">
        <v>0</v>
      </c>
      <c r="N32" s="314">
        <v>0</v>
      </c>
      <c r="O32" s="314">
        <v>0</v>
      </c>
      <c r="P32" s="314">
        <v>0</v>
      </c>
      <c r="Q32" s="314">
        <v>0</v>
      </c>
      <c r="R32" s="314">
        <v>0</v>
      </c>
      <c r="S32" s="314">
        <v>0</v>
      </c>
      <c r="T32" s="314">
        <v>0</v>
      </c>
      <c r="U32" s="314">
        <v>0</v>
      </c>
      <c r="V32" s="314">
        <v>0</v>
      </c>
      <c r="W32" s="314">
        <v>0</v>
      </c>
      <c r="X32" s="314">
        <v>0</v>
      </c>
      <c r="Y32" s="314">
        <v>0</v>
      </c>
      <c r="Z32" s="314">
        <v>0</v>
      </c>
      <c r="AA32" s="314">
        <v>0</v>
      </c>
      <c r="AB32" s="314">
        <v>0</v>
      </c>
      <c r="AC32" s="314">
        <v>0</v>
      </c>
      <c r="AD32" s="314">
        <v>0</v>
      </c>
      <c r="AE32" s="314">
        <v>0</v>
      </c>
      <c r="AF32" s="314">
        <v>0</v>
      </c>
      <c r="AG32" s="314">
        <v>0</v>
      </c>
      <c r="AH32" s="314">
        <v>0</v>
      </c>
      <c r="AI32" s="314">
        <v>0</v>
      </c>
      <c r="AJ32" s="314">
        <v>0</v>
      </c>
      <c r="AK32" s="314">
        <v>0</v>
      </c>
      <c r="AL32" s="314">
        <v>0</v>
      </c>
    </row>
    <row r="33" spans="1:40" outlineLevel="1">
      <c r="C33" s="411"/>
      <c r="E33" s="53" t="s">
        <v>206</v>
      </c>
      <c r="F33" s="313">
        <v>0</v>
      </c>
      <c r="G33" s="314">
        <v>0</v>
      </c>
      <c r="H33" s="314">
        <v>0</v>
      </c>
      <c r="I33" s="314">
        <v>0</v>
      </c>
      <c r="J33" s="314">
        <v>0</v>
      </c>
      <c r="K33" s="314">
        <v>0</v>
      </c>
      <c r="L33" s="314">
        <v>0</v>
      </c>
      <c r="M33" s="314">
        <v>0</v>
      </c>
      <c r="N33" s="314">
        <v>0</v>
      </c>
      <c r="O33" s="314">
        <v>0</v>
      </c>
      <c r="P33" s="314">
        <v>0</v>
      </c>
      <c r="Q33" s="314">
        <v>0</v>
      </c>
      <c r="R33" s="314">
        <v>0</v>
      </c>
      <c r="S33" s="314">
        <v>0</v>
      </c>
      <c r="T33" s="314">
        <v>0</v>
      </c>
      <c r="U33" s="314">
        <v>0</v>
      </c>
      <c r="V33" s="314">
        <v>0</v>
      </c>
      <c r="W33" s="314">
        <v>0</v>
      </c>
      <c r="X33" s="314">
        <v>0</v>
      </c>
      <c r="Y33" s="314">
        <v>0</v>
      </c>
      <c r="Z33" s="314">
        <v>0</v>
      </c>
      <c r="AA33" s="314">
        <v>0</v>
      </c>
      <c r="AB33" s="314">
        <v>0</v>
      </c>
      <c r="AC33" s="314">
        <v>0</v>
      </c>
      <c r="AD33" s="314">
        <v>0</v>
      </c>
      <c r="AE33" s="314">
        <v>0</v>
      </c>
      <c r="AF33" s="314">
        <v>0</v>
      </c>
      <c r="AG33" s="314">
        <v>0</v>
      </c>
      <c r="AH33" s="314">
        <v>0</v>
      </c>
      <c r="AI33" s="314">
        <v>0</v>
      </c>
      <c r="AJ33" s="314">
        <v>0</v>
      </c>
      <c r="AK33" s="314">
        <v>0</v>
      </c>
      <c r="AL33" s="314">
        <v>279316.76130000001</v>
      </c>
    </row>
    <row r="34" spans="1:40" outlineLevel="1">
      <c r="C34" s="411"/>
      <c r="E34" s="52" t="s">
        <v>207</v>
      </c>
      <c r="F34" s="311">
        <v>0</v>
      </c>
      <c r="G34" s="312">
        <v>89433.536907000002</v>
      </c>
      <c r="H34" s="312">
        <v>183453.40904</v>
      </c>
      <c r="I34" s="312">
        <v>229316.76129999998</v>
      </c>
      <c r="J34" s="312">
        <v>251816.76129999998</v>
      </c>
      <c r="K34" s="312">
        <v>279316.76130000001</v>
      </c>
      <c r="L34" s="312">
        <v>279316.76130000001</v>
      </c>
      <c r="M34" s="312">
        <v>279316.76130000001</v>
      </c>
      <c r="N34" s="312">
        <v>279316.76130000001</v>
      </c>
      <c r="O34" s="312">
        <v>279316.76130000001</v>
      </c>
      <c r="P34" s="312">
        <v>279316.76130000001</v>
      </c>
      <c r="Q34" s="312">
        <v>279316.76130000001</v>
      </c>
      <c r="R34" s="312">
        <v>279316.76130000001</v>
      </c>
      <c r="S34" s="312">
        <v>279316.76130000001</v>
      </c>
      <c r="T34" s="312">
        <v>279316.76130000001</v>
      </c>
      <c r="U34" s="312">
        <v>279316.76130000001</v>
      </c>
      <c r="V34" s="312">
        <v>279316.76130000001</v>
      </c>
      <c r="W34" s="312">
        <v>279316.76130000001</v>
      </c>
      <c r="X34" s="312">
        <v>279316.76130000001</v>
      </c>
      <c r="Y34" s="312">
        <v>279316.76130000001</v>
      </c>
      <c r="Z34" s="312">
        <v>279316.76130000001</v>
      </c>
      <c r="AA34" s="312">
        <v>279316.76130000001</v>
      </c>
      <c r="AB34" s="312">
        <v>279316.76130000001</v>
      </c>
      <c r="AC34" s="312">
        <v>279316.76130000001</v>
      </c>
      <c r="AD34" s="312">
        <v>279316.76130000001</v>
      </c>
      <c r="AE34" s="312">
        <v>279316.76130000001</v>
      </c>
      <c r="AF34" s="312">
        <v>279316.76130000001</v>
      </c>
      <c r="AG34" s="312">
        <v>279316.76130000001</v>
      </c>
      <c r="AH34" s="312">
        <v>279316.76130000001</v>
      </c>
      <c r="AI34" s="312">
        <v>279316.76130000001</v>
      </c>
      <c r="AJ34" s="312">
        <v>279316.76130000001</v>
      </c>
      <c r="AK34" s="312">
        <v>279316.76130000001</v>
      </c>
      <c r="AL34" s="312">
        <v>0</v>
      </c>
    </row>
    <row r="35" spans="1:40" ht="3.75" customHeight="1" outlineLevel="1">
      <c r="E35" s="52"/>
      <c r="F35" s="311"/>
      <c r="G35" s="312"/>
      <c r="H35" s="312"/>
      <c r="I35" s="312"/>
      <c r="J35" s="312"/>
      <c r="K35" s="312"/>
      <c r="L35" s="312"/>
      <c r="M35" s="312"/>
      <c r="N35" s="312"/>
      <c r="O35" s="312"/>
      <c r="P35" s="312"/>
      <c r="Q35" s="312"/>
      <c r="R35" s="312"/>
      <c r="S35" s="312"/>
      <c r="T35" s="312"/>
      <c r="U35" s="312"/>
      <c r="V35" s="312"/>
      <c r="W35" s="312"/>
      <c r="X35" s="312"/>
      <c r="Y35" s="312"/>
      <c r="Z35" s="312"/>
      <c r="AA35" s="312"/>
      <c r="AB35" s="312"/>
      <c r="AC35" s="312"/>
      <c r="AD35" s="312"/>
      <c r="AE35" s="312"/>
      <c r="AF35" s="312"/>
      <c r="AG35" s="312"/>
      <c r="AH35" s="312"/>
      <c r="AI35" s="312"/>
      <c r="AJ35" s="312"/>
      <c r="AK35" s="312"/>
      <c r="AL35" s="312"/>
    </row>
    <row r="36" spans="1:40" outlineLevel="1">
      <c r="C36" s="412"/>
      <c r="E36" s="52" t="s">
        <v>208</v>
      </c>
      <c r="F36" s="311">
        <v>0</v>
      </c>
      <c r="G36" s="312">
        <v>0</v>
      </c>
      <c r="H36" s="312">
        <v>0</v>
      </c>
      <c r="I36" s="312">
        <v>0</v>
      </c>
      <c r="J36" s="312">
        <v>2518.1676130000001</v>
      </c>
      <c r="K36" s="312">
        <v>2793.1676130000001</v>
      </c>
      <c r="L36" s="312">
        <v>2793.1676130000001</v>
      </c>
      <c r="M36" s="312">
        <v>2793.1676130000001</v>
      </c>
      <c r="N36" s="312">
        <v>2793.1676130000001</v>
      </c>
      <c r="O36" s="312">
        <v>2793.1676130000001</v>
      </c>
      <c r="P36" s="312">
        <v>2793.1676130000001</v>
      </c>
      <c r="Q36" s="312">
        <v>2793.1676130000001</v>
      </c>
      <c r="R36" s="312">
        <v>2793.1676130000001</v>
      </c>
      <c r="S36" s="312">
        <v>2793.1676130000001</v>
      </c>
      <c r="T36" s="312">
        <v>2793.1676130000001</v>
      </c>
      <c r="U36" s="312">
        <v>2793.1676130000001</v>
      </c>
      <c r="V36" s="312">
        <v>2793.1676130000001</v>
      </c>
      <c r="W36" s="312">
        <v>2793.1676130000001</v>
      </c>
      <c r="X36" s="312">
        <v>2793.1676130000001</v>
      </c>
      <c r="Y36" s="312">
        <v>2793.1676130000001</v>
      </c>
      <c r="Z36" s="312">
        <v>2793.1676130000001</v>
      </c>
      <c r="AA36" s="312">
        <v>2793.1676130000001</v>
      </c>
      <c r="AB36" s="312">
        <v>2793.1676130000001</v>
      </c>
      <c r="AC36" s="312">
        <v>2793.1676130000001</v>
      </c>
      <c r="AD36" s="312">
        <v>2793.1676130000001</v>
      </c>
      <c r="AE36" s="312">
        <v>2793.1676130000001</v>
      </c>
      <c r="AF36" s="312">
        <v>2793.1676130000001</v>
      </c>
      <c r="AG36" s="312">
        <v>2793.1676130000001</v>
      </c>
      <c r="AH36" s="312">
        <v>2793.1676130000001</v>
      </c>
      <c r="AI36" s="312">
        <v>2793.1676130000001</v>
      </c>
      <c r="AJ36" s="312">
        <v>2793.1676130000001</v>
      </c>
      <c r="AK36" s="312">
        <v>2793.1676130000001</v>
      </c>
      <c r="AL36" s="312">
        <v>0</v>
      </c>
    </row>
    <row r="37" spans="1:40" ht="3.75" customHeight="1" outlineLevel="1">
      <c r="A37" s="18"/>
      <c r="E37" s="53"/>
      <c r="F37" s="313"/>
      <c r="G37" s="314"/>
      <c r="H37" s="314"/>
      <c r="I37" s="314"/>
      <c r="J37" s="314"/>
      <c r="K37" s="314"/>
      <c r="L37" s="314"/>
      <c r="M37" s="314"/>
      <c r="N37" s="314"/>
      <c r="O37" s="314"/>
      <c r="P37" s="314"/>
      <c r="Q37" s="314"/>
      <c r="R37" s="314"/>
      <c r="S37" s="314"/>
      <c r="T37" s="314"/>
      <c r="U37" s="314"/>
      <c r="V37" s="314"/>
      <c r="W37" s="314"/>
      <c r="X37" s="314"/>
      <c r="Y37" s="314"/>
      <c r="Z37" s="314"/>
      <c r="AA37" s="314"/>
      <c r="AB37" s="314"/>
      <c r="AC37" s="314"/>
      <c r="AD37" s="314"/>
      <c r="AE37" s="314"/>
      <c r="AF37" s="314"/>
      <c r="AG37" s="314"/>
      <c r="AH37" s="314"/>
      <c r="AI37" s="314"/>
      <c r="AJ37" s="314"/>
      <c r="AK37" s="314"/>
      <c r="AL37" s="314"/>
    </row>
    <row r="38" spans="1:40" outlineLevel="1">
      <c r="C38" s="51"/>
      <c r="E38" s="53" t="s">
        <v>209</v>
      </c>
      <c r="F38" s="313">
        <v>0</v>
      </c>
      <c r="G38" s="314">
        <v>0</v>
      </c>
      <c r="H38" s="314">
        <v>0</v>
      </c>
      <c r="I38" s="314">
        <v>12954.450753333334</v>
      </c>
      <c r="J38" s="314">
        <v>14622.3285942</v>
      </c>
      <c r="K38" s="314">
        <v>16641.873101733334</v>
      </c>
      <c r="L38" s="314">
        <v>16828.084275933335</v>
      </c>
      <c r="M38" s="314">
        <v>17014.295450133333</v>
      </c>
      <c r="N38" s="314">
        <v>17200.506624333335</v>
      </c>
      <c r="O38" s="314">
        <v>17386.717798533336</v>
      </c>
      <c r="P38" s="314">
        <v>17572.928972733334</v>
      </c>
      <c r="Q38" s="314">
        <v>17759.140146933336</v>
      </c>
      <c r="R38" s="314">
        <v>17945.351321133334</v>
      </c>
      <c r="S38" s="314">
        <v>18131.562495333335</v>
      </c>
      <c r="T38" s="314">
        <v>18317.773669533333</v>
      </c>
      <c r="U38" s="314">
        <v>18503.984843733335</v>
      </c>
      <c r="V38" s="314">
        <v>18690.196017933336</v>
      </c>
      <c r="W38" s="314">
        <v>18876.407192133334</v>
      </c>
      <c r="X38" s="314">
        <v>8441.5009463333336</v>
      </c>
      <c r="Y38" s="314">
        <v>6959.8342796666675</v>
      </c>
      <c r="Z38" s="314">
        <v>5126.5009463333336</v>
      </c>
      <c r="AA38" s="314">
        <v>5126.5009463333336</v>
      </c>
      <c r="AB38" s="314">
        <v>5126.5009463333336</v>
      </c>
      <c r="AC38" s="314">
        <v>5126.5009463333336</v>
      </c>
      <c r="AD38" s="314">
        <v>5126.5009463333336</v>
      </c>
      <c r="AE38" s="314">
        <v>5126.5009463333336</v>
      </c>
      <c r="AF38" s="314">
        <v>5126.5009463333336</v>
      </c>
      <c r="AG38" s="314">
        <v>5126.5009463333336</v>
      </c>
      <c r="AH38" s="314">
        <v>5126.5009463333336</v>
      </c>
      <c r="AI38" s="314">
        <v>5126.5009463333336</v>
      </c>
      <c r="AJ38" s="314">
        <v>5126.5009463333336</v>
      </c>
      <c r="AK38" s="314">
        <v>5126.5009463333336</v>
      </c>
      <c r="AL38" s="314">
        <v>4940.2897721333338</v>
      </c>
    </row>
    <row r="39" spans="1:40" outlineLevel="1">
      <c r="C39" s="51"/>
      <c r="E39" s="53" t="s">
        <v>210</v>
      </c>
      <c r="F39" s="313"/>
      <c r="G39" s="314"/>
      <c r="H39" s="314"/>
      <c r="I39" s="314">
        <v>12954.450753333334</v>
      </c>
      <c r="J39" s="314">
        <v>27576.779347533335</v>
      </c>
      <c r="K39" s="314">
        <v>44218.652449266665</v>
      </c>
      <c r="L39" s="314">
        <v>61046.736725199997</v>
      </c>
      <c r="M39" s="314">
        <v>78061.032175333326</v>
      </c>
      <c r="N39" s="314">
        <v>95261.538799666654</v>
      </c>
      <c r="O39" s="314">
        <v>112648.25659819999</v>
      </c>
      <c r="P39" s="314">
        <v>130221.18557093333</v>
      </c>
      <c r="Q39" s="314">
        <v>147980.32571786665</v>
      </c>
      <c r="R39" s="314">
        <v>165925.67703899997</v>
      </c>
      <c r="S39" s="314">
        <v>184057.23953433332</v>
      </c>
      <c r="T39" s="314">
        <v>202375.01320386666</v>
      </c>
      <c r="U39" s="314">
        <v>220878.99804760001</v>
      </c>
      <c r="V39" s="314">
        <v>239569.19406553335</v>
      </c>
      <c r="W39" s="314">
        <v>258445.60125766668</v>
      </c>
      <c r="X39" s="314">
        <v>266887.102204</v>
      </c>
      <c r="Y39" s="314">
        <v>273846.93648366665</v>
      </c>
      <c r="Z39" s="314">
        <v>278973.43742999999</v>
      </c>
      <c r="AA39" s="314">
        <v>284099.93837633333</v>
      </c>
      <c r="AB39" s="314">
        <v>289226.43932266667</v>
      </c>
      <c r="AC39" s="314">
        <v>294352.94026900001</v>
      </c>
      <c r="AD39" s="314">
        <v>299479.44121533335</v>
      </c>
      <c r="AE39" s="314">
        <v>304605.9421616667</v>
      </c>
      <c r="AF39" s="314">
        <v>309732.44310800004</v>
      </c>
      <c r="AG39" s="314">
        <v>314858.94405433338</v>
      </c>
      <c r="AH39" s="314">
        <v>319985.44500066672</v>
      </c>
      <c r="AI39" s="314">
        <v>325111.94594700006</v>
      </c>
      <c r="AJ39" s="314">
        <v>330238.4468933334</v>
      </c>
      <c r="AK39" s="314">
        <v>335364.94783966674</v>
      </c>
      <c r="AL39" s="314">
        <v>340305.23761180008</v>
      </c>
    </row>
    <row r="40" spans="1:40" outlineLevel="1">
      <c r="C40" s="51"/>
      <c r="E40" s="54" t="s">
        <v>211</v>
      </c>
      <c r="F40" s="315"/>
      <c r="G40" s="316"/>
      <c r="H40" s="316"/>
      <c r="I40" s="316">
        <v>216362.31054666665</v>
      </c>
      <c r="J40" s="316">
        <v>226758.14956546665</v>
      </c>
      <c r="K40" s="316">
        <v>237891.27646373337</v>
      </c>
      <c r="L40" s="316">
        <v>221063.19218780004</v>
      </c>
      <c r="M40" s="316">
        <v>204048.89673766671</v>
      </c>
      <c r="N40" s="316">
        <v>186848.39011333339</v>
      </c>
      <c r="O40" s="316">
        <v>169461.67231480003</v>
      </c>
      <c r="P40" s="316">
        <v>151888.74334206671</v>
      </c>
      <c r="Q40" s="316">
        <v>134129.60319513339</v>
      </c>
      <c r="R40" s="316">
        <v>116184.25187400007</v>
      </c>
      <c r="S40" s="316">
        <v>98052.689378666721</v>
      </c>
      <c r="T40" s="316">
        <v>79734.915709133376</v>
      </c>
      <c r="U40" s="316">
        <v>61230.930865400034</v>
      </c>
      <c r="V40" s="316">
        <v>42540.734847466694</v>
      </c>
      <c r="W40" s="316">
        <v>23664.327655333356</v>
      </c>
      <c r="X40" s="316">
        <v>15222.826709000045</v>
      </c>
      <c r="Y40" s="316">
        <v>8262.9924293333897</v>
      </c>
      <c r="Z40" s="316">
        <v>3136.4914830000489</v>
      </c>
      <c r="AA40" s="316">
        <v>0</v>
      </c>
      <c r="AB40" s="316">
        <v>0</v>
      </c>
      <c r="AC40" s="316">
        <v>0</v>
      </c>
      <c r="AD40" s="316">
        <v>0</v>
      </c>
      <c r="AE40" s="316">
        <v>0</v>
      </c>
      <c r="AF40" s="316">
        <v>0</v>
      </c>
      <c r="AG40" s="316">
        <v>0</v>
      </c>
      <c r="AH40" s="316">
        <v>0</v>
      </c>
      <c r="AI40" s="316">
        <v>0</v>
      </c>
      <c r="AJ40" s="316">
        <v>0</v>
      </c>
      <c r="AK40" s="316">
        <v>0</v>
      </c>
      <c r="AL40" s="316">
        <v>0</v>
      </c>
    </row>
    <row r="41" spans="1:40" ht="3.75" customHeight="1" outlineLevel="1">
      <c r="E41" s="55"/>
      <c r="F41" s="56"/>
      <c r="G41" s="57"/>
      <c r="H41" s="57"/>
      <c r="I41" s="57"/>
      <c r="J41" s="58"/>
      <c r="K41" s="57"/>
      <c r="L41" s="58"/>
      <c r="M41" s="57"/>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row>
    <row r="42" spans="1:40" s="60" customFormat="1" outlineLevel="1">
      <c r="A42" s="59"/>
      <c r="C42" s="413"/>
      <c r="E42" s="52" t="s">
        <v>477</v>
      </c>
      <c r="F42" s="311"/>
      <c r="G42" s="317"/>
      <c r="H42" s="312"/>
      <c r="I42" s="318"/>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N42" s="59"/>
    </row>
    <row r="43" spans="1:40" outlineLevel="1">
      <c r="C43" s="411"/>
      <c r="E43" s="78" t="s">
        <v>478</v>
      </c>
      <c r="F43" s="311"/>
      <c r="G43" s="319"/>
      <c r="H43" s="312"/>
      <c r="I43" s="320">
        <v>15</v>
      </c>
      <c r="J43" s="320">
        <v>15</v>
      </c>
      <c r="K43" s="320">
        <v>15</v>
      </c>
      <c r="L43" s="320">
        <v>15</v>
      </c>
      <c r="M43" s="320">
        <v>15</v>
      </c>
      <c r="N43" s="320">
        <v>15</v>
      </c>
      <c r="O43" s="320">
        <v>15</v>
      </c>
      <c r="P43" s="320">
        <v>15</v>
      </c>
      <c r="Q43" s="320">
        <v>15</v>
      </c>
      <c r="R43" s="320">
        <v>15</v>
      </c>
      <c r="S43" s="320">
        <v>15</v>
      </c>
      <c r="T43" s="320">
        <v>15</v>
      </c>
      <c r="U43" s="320">
        <v>15</v>
      </c>
      <c r="V43" s="320">
        <v>15</v>
      </c>
      <c r="W43" s="320">
        <v>15</v>
      </c>
      <c r="X43" s="320">
        <v>15</v>
      </c>
      <c r="Y43" s="320">
        <v>15</v>
      </c>
      <c r="Z43" s="320">
        <v>15</v>
      </c>
      <c r="AA43" s="320">
        <v>15</v>
      </c>
      <c r="AB43" s="320">
        <v>15</v>
      </c>
      <c r="AC43" s="320">
        <v>15</v>
      </c>
      <c r="AD43" s="320">
        <v>15</v>
      </c>
      <c r="AE43" s="320">
        <v>15</v>
      </c>
      <c r="AF43" s="320">
        <v>15</v>
      </c>
      <c r="AG43" s="320">
        <v>15</v>
      </c>
      <c r="AH43" s="320">
        <v>15</v>
      </c>
      <c r="AI43" s="320">
        <v>15</v>
      </c>
      <c r="AJ43" s="320">
        <v>15</v>
      </c>
      <c r="AK43" s="320">
        <v>15</v>
      </c>
      <c r="AL43" s="320">
        <v>15</v>
      </c>
    </row>
    <row r="44" spans="1:40" outlineLevel="1">
      <c r="C44" s="411"/>
      <c r="E44" s="281" t="s">
        <v>67</v>
      </c>
      <c r="F44" s="321"/>
      <c r="G44" s="322"/>
      <c r="H44" s="323"/>
      <c r="I44" s="324">
        <v>10</v>
      </c>
      <c r="J44" s="324">
        <v>10</v>
      </c>
      <c r="K44" s="324">
        <v>10</v>
      </c>
      <c r="L44" s="324">
        <v>10</v>
      </c>
      <c r="M44" s="324">
        <v>10</v>
      </c>
      <c r="N44" s="324">
        <v>10</v>
      </c>
      <c r="O44" s="324">
        <v>10</v>
      </c>
      <c r="P44" s="324">
        <v>10</v>
      </c>
      <c r="Q44" s="324">
        <v>10</v>
      </c>
      <c r="R44" s="324">
        <v>10</v>
      </c>
      <c r="S44" s="324">
        <v>10</v>
      </c>
      <c r="T44" s="324">
        <v>10</v>
      </c>
      <c r="U44" s="324">
        <v>10</v>
      </c>
      <c r="V44" s="324">
        <v>10</v>
      </c>
      <c r="W44" s="324">
        <v>10</v>
      </c>
      <c r="X44" s="324">
        <v>10</v>
      </c>
      <c r="Y44" s="324">
        <v>10</v>
      </c>
      <c r="Z44" s="324">
        <v>10</v>
      </c>
      <c r="AA44" s="324">
        <v>10</v>
      </c>
      <c r="AB44" s="324">
        <v>10</v>
      </c>
      <c r="AC44" s="324">
        <v>10</v>
      </c>
      <c r="AD44" s="324">
        <v>10</v>
      </c>
      <c r="AE44" s="324">
        <v>10</v>
      </c>
      <c r="AF44" s="324">
        <v>10</v>
      </c>
      <c r="AG44" s="324">
        <v>10</v>
      </c>
      <c r="AH44" s="324">
        <v>10</v>
      </c>
      <c r="AI44" s="324">
        <v>10</v>
      </c>
      <c r="AJ44" s="324">
        <v>10</v>
      </c>
      <c r="AK44" s="324">
        <v>10</v>
      </c>
      <c r="AL44" s="324">
        <v>10</v>
      </c>
    </row>
    <row r="45" spans="1:40" ht="3.75" customHeight="1" outlineLevel="1">
      <c r="E45" s="55"/>
      <c r="F45" s="56"/>
      <c r="G45" s="57"/>
      <c r="H45" s="57"/>
      <c r="I45" s="57"/>
      <c r="J45" s="58"/>
      <c r="K45" s="57"/>
      <c r="L45" s="58"/>
      <c r="M45" s="57"/>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row>
    <row r="46" spans="1:40" s="60" customFormat="1" outlineLevel="1">
      <c r="A46" s="59"/>
      <c r="C46" s="247"/>
      <c r="E46" s="52" t="s">
        <v>479</v>
      </c>
      <c r="F46" s="311"/>
      <c r="G46" s="317"/>
      <c r="H46" s="312"/>
      <c r="I46" s="318"/>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N46" s="59"/>
    </row>
    <row r="47" spans="1:40" outlineLevel="1">
      <c r="C47" s="51"/>
      <c r="E47" s="53" t="s">
        <v>405</v>
      </c>
      <c r="F47" s="311"/>
      <c r="G47" s="319"/>
      <c r="H47" s="312"/>
      <c r="I47" s="320">
        <v>2687.2383999999997</v>
      </c>
      <c r="J47" s="320">
        <v>7677.8239999999996</v>
      </c>
      <c r="K47" s="320">
        <v>7677.8239999999996</v>
      </c>
      <c r="L47" s="320">
        <v>7677.8239999999996</v>
      </c>
      <c r="M47" s="320">
        <v>7677.8239999999996</v>
      </c>
      <c r="N47" s="320">
        <v>7677.8239999999996</v>
      </c>
      <c r="O47" s="320">
        <v>7677.8239999999996</v>
      </c>
      <c r="P47" s="320">
        <v>7677.8239999999996</v>
      </c>
      <c r="Q47" s="320">
        <v>7677.8239999999996</v>
      </c>
      <c r="R47" s="320">
        <v>7677.8239999999996</v>
      </c>
      <c r="S47" s="320">
        <v>7677.8239999999996</v>
      </c>
      <c r="T47" s="320">
        <v>7677.8239999999996</v>
      </c>
      <c r="U47" s="320">
        <v>7677.8239999999996</v>
      </c>
      <c r="V47" s="320">
        <v>7677.8239999999996</v>
      </c>
      <c r="W47" s="320">
        <v>7677.8239999999996</v>
      </c>
      <c r="X47" s="320">
        <v>7677.8239999999996</v>
      </c>
      <c r="Y47" s="320">
        <v>7677.8239999999996</v>
      </c>
      <c r="Z47" s="320">
        <v>7677.8239999999996</v>
      </c>
      <c r="AA47" s="320">
        <v>7677.8239999999996</v>
      </c>
      <c r="AB47" s="320">
        <v>7677.8239999999996</v>
      </c>
      <c r="AC47" s="320">
        <v>7677.8239999999996</v>
      </c>
      <c r="AD47" s="320">
        <v>7677.8239999999996</v>
      </c>
      <c r="AE47" s="320">
        <v>7677.8239999999996</v>
      </c>
      <c r="AF47" s="320">
        <v>7677.8239999999996</v>
      </c>
      <c r="AG47" s="320">
        <v>7677.8239999999996</v>
      </c>
      <c r="AH47" s="320">
        <v>7677.8239999999996</v>
      </c>
      <c r="AI47" s="320">
        <v>7677.8239999999996</v>
      </c>
      <c r="AJ47" s="320">
        <v>7677.8239999999996</v>
      </c>
      <c r="AK47" s="320">
        <v>7677.8239999999996</v>
      </c>
      <c r="AL47" s="320">
        <v>7677.8239999999996</v>
      </c>
    </row>
    <row r="48" spans="1:40" outlineLevel="1">
      <c r="C48" s="51"/>
      <c r="E48" s="78" t="s">
        <v>406</v>
      </c>
      <c r="F48" s="311"/>
      <c r="G48" s="319"/>
      <c r="H48" s="312"/>
      <c r="I48" s="320">
        <v>671.80959999999993</v>
      </c>
      <c r="J48" s="320">
        <v>1919.4559999999999</v>
      </c>
      <c r="K48" s="320">
        <v>1919.4559999999999</v>
      </c>
      <c r="L48" s="320">
        <v>1919.4559999999999</v>
      </c>
      <c r="M48" s="320">
        <v>1919.4559999999999</v>
      </c>
      <c r="N48" s="320">
        <v>1919.4559999999999</v>
      </c>
      <c r="O48" s="320">
        <v>1919.4559999999999</v>
      </c>
      <c r="P48" s="320">
        <v>1919.4559999999999</v>
      </c>
      <c r="Q48" s="320">
        <v>1919.4559999999999</v>
      </c>
      <c r="R48" s="320">
        <v>1919.4559999999999</v>
      </c>
      <c r="S48" s="320">
        <v>1919.4559999999999</v>
      </c>
      <c r="T48" s="320">
        <v>1919.4559999999999</v>
      </c>
      <c r="U48" s="320">
        <v>1919.4559999999999</v>
      </c>
      <c r="V48" s="320">
        <v>1919.4559999999999</v>
      </c>
      <c r="W48" s="320">
        <v>1919.4559999999999</v>
      </c>
      <c r="X48" s="320">
        <v>1919.4559999999999</v>
      </c>
      <c r="Y48" s="320">
        <v>1919.4559999999999</v>
      </c>
      <c r="Z48" s="320">
        <v>1919.4559999999999</v>
      </c>
      <c r="AA48" s="320">
        <v>1919.4559999999999</v>
      </c>
      <c r="AB48" s="320">
        <v>1919.4559999999999</v>
      </c>
      <c r="AC48" s="320">
        <v>1919.4559999999999</v>
      </c>
      <c r="AD48" s="320">
        <v>1919.4559999999999</v>
      </c>
      <c r="AE48" s="320">
        <v>1919.4559999999999</v>
      </c>
      <c r="AF48" s="320">
        <v>1919.4559999999999</v>
      </c>
      <c r="AG48" s="320">
        <v>1919.4559999999999</v>
      </c>
      <c r="AH48" s="320">
        <v>1919.4559999999999</v>
      </c>
      <c r="AI48" s="320">
        <v>1919.4559999999999</v>
      </c>
      <c r="AJ48" s="320">
        <v>1919.4559999999999</v>
      </c>
      <c r="AK48" s="320">
        <v>1919.4559999999999</v>
      </c>
      <c r="AL48" s="320">
        <v>1919.4559999999999</v>
      </c>
    </row>
    <row r="49" spans="1:40" outlineLevel="1">
      <c r="C49" s="51"/>
      <c r="E49" s="78" t="s">
        <v>407</v>
      </c>
      <c r="F49" s="311"/>
      <c r="G49" s="319"/>
      <c r="H49" s="312"/>
      <c r="I49" s="320">
        <v>2015.4287999999997</v>
      </c>
      <c r="J49" s="320">
        <v>5758.3679999999995</v>
      </c>
      <c r="K49" s="320">
        <v>5758.3679999999995</v>
      </c>
      <c r="L49" s="320">
        <v>5758.3679999999995</v>
      </c>
      <c r="M49" s="320">
        <v>5758.3679999999995</v>
      </c>
      <c r="N49" s="320">
        <v>5758.3679999999995</v>
      </c>
      <c r="O49" s="320">
        <v>5758.3679999999995</v>
      </c>
      <c r="P49" s="320">
        <v>5758.3679999999995</v>
      </c>
      <c r="Q49" s="320">
        <v>5758.3679999999995</v>
      </c>
      <c r="R49" s="320">
        <v>5758.3679999999995</v>
      </c>
      <c r="S49" s="320">
        <v>5758.3679999999995</v>
      </c>
      <c r="T49" s="320">
        <v>5758.3679999999995</v>
      </c>
      <c r="U49" s="320">
        <v>5758.3679999999995</v>
      </c>
      <c r="V49" s="320">
        <v>5758.3679999999995</v>
      </c>
      <c r="W49" s="320">
        <v>5758.3679999999995</v>
      </c>
      <c r="X49" s="320">
        <v>5758.3679999999995</v>
      </c>
      <c r="Y49" s="320">
        <v>5758.3679999999995</v>
      </c>
      <c r="Z49" s="320">
        <v>5758.3679999999995</v>
      </c>
      <c r="AA49" s="320">
        <v>5758.3679999999995</v>
      </c>
      <c r="AB49" s="320">
        <v>5758.3679999999995</v>
      </c>
      <c r="AC49" s="320">
        <v>5758.3679999999995</v>
      </c>
      <c r="AD49" s="320">
        <v>5758.3679999999995</v>
      </c>
      <c r="AE49" s="320">
        <v>5758.3679999999995</v>
      </c>
      <c r="AF49" s="320">
        <v>5758.3679999999995</v>
      </c>
      <c r="AG49" s="320">
        <v>5758.3679999999995</v>
      </c>
      <c r="AH49" s="320">
        <v>5758.3679999999995</v>
      </c>
      <c r="AI49" s="320">
        <v>5758.3679999999995</v>
      </c>
      <c r="AJ49" s="320">
        <v>5758.3679999999995</v>
      </c>
      <c r="AK49" s="320">
        <v>5758.3679999999995</v>
      </c>
      <c r="AL49" s="320">
        <v>5758.3679999999995</v>
      </c>
    </row>
    <row r="50" spans="1:40" outlineLevel="1">
      <c r="C50" s="51"/>
      <c r="E50" s="53" t="s">
        <v>212</v>
      </c>
      <c r="F50" s="311"/>
      <c r="G50" s="320"/>
      <c r="H50" s="312"/>
      <c r="I50" s="320">
        <v>4568.3052799999996</v>
      </c>
      <c r="J50" s="320">
        <v>13052.300799999999</v>
      </c>
      <c r="K50" s="320">
        <v>13052.300799999999</v>
      </c>
      <c r="L50" s="320">
        <v>13052.300799999999</v>
      </c>
      <c r="M50" s="320">
        <v>13052.300799999999</v>
      </c>
      <c r="N50" s="320">
        <v>13052.300799999999</v>
      </c>
      <c r="O50" s="320">
        <v>13052.300799999999</v>
      </c>
      <c r="P50" s="320">
        <v>13052.300799999999</v>
      </c>
      <c r="Q50" s="320">
        <v>13052.300799999999</v>
      </c>
      <c r="R50" s="320">
        <v>13052.300799999999</v>
      </c>
      <c r="S50" s="320">
        <v>13052.300799999999</v>
      </c>
      <c r="T50" s="320">
        <v>13052.300799999999</v>
      </c>
      <c r="U50" s="320">
        <v>13052.300799999999</v>
      </c>
      <c r="V50" s="320">
        <v>13052.300799999999</v>
      </c>
      <c r="W50" s="320">
        <v>13052.300799999999</v>
      </c>
      <c r="X50" s="320">
        <v>13052.300799999999</v>
      </c>
      <c r="Y50" s="320">
        <v>13052.300799999999</v>
      </c>
      <c r="Z50" s="320">
        <v>13052.300799999999</v>
      </c>
      <c r="AA50" s="320">
        <v>13052.300799999999</v>
      </c>
      <c r="AB50" s="320">
        <v>13052.300799999999</v>
      </c>
      <c r="AC50" s="320">
        <v>13052.300799999999</v>
      </c>
      <c r="AD50" s="320">
        <v>13052.300799999999</v>
      </c>
      <c r="AE50" s="320">
        <v>13052.300799999999</v>
      </c>
      <c r="AF50" s="320">
        <v>13052.300799999999</v>
      </c>
      <c r="AG50" s="320">
        <v>13052.300799999999</v>
      </c>
      <c r="AH50" s="320">
        <v>13052.300799999999</v>
      </c>
      <c r="AI50" s="320">
        <v>13052.300799999999</v>
      </c>
      <c r="AJ50" s="320">
        <v>13052.300799999999</v>
      </c>
      <c r="AK50" s="320">
        <v>13052.300799999999</v>
      </c>
      <c r="AL50" s="320">
        <v>13052.300799999999</v>
      </c>
    </row>
    <row r="51" spans="1:40" outlineLevel="1">
      <c r="C51" s="51"/>
      <c r="E51" s="53" t="s">
        <v>480</v>
      </c>
      <c r="F51" s="311"/>
      <c r="G51" s="320"/>
      <c r="H51" s="312"/>
      <c r="I51" s="320"/>
      <c r="J51" s="320">
        <v>10</v>
      </c>
      <c r="K51" s="320">
        <v>15</v>
      </c>
      <c r="L51" s="320">
        <v>22.5</v>
      </c>
      <c r="M51" s="320">
        <v>33.75</v>
      </c>
      <c r="N51" s="320">
        <v>37.125</v>
      </c>
      <c r="O51" s="320">
        <v>37.125</v>
      </c>
      <c r="P51" s="320">
        <v>37.125</v>
      </c>
      <c r="Q51" s="320">
        <v>37.125</v>
      </c>
      <c r="R51" s="320">
        <v>37.125</v>
      </c>
      <c r="S51" s="320">
        <v>37.125</v>
      </c>
      <c r="T51" s="320">
        <v>37.125</v>
      </c>
      <c r="U51" s="320">
        <v>37.125</v>
      </c>
      <c r="V51" s="320">
        <v>37.125</v>
      </c>
      <c r="W51" s="320">
        <v>37.125</v>
      </c>
      <c r="X51" s="320">
        <v>37.125</v>
      </c>
      <c r="Y51" s="320">
        <v>37.125</v>
      </c>
      <c r="Z51" s="320">
        <v>37.125</v>
      </c>
      <c r="AA51" s="320">
        <v>37.125</v>
      </c>
      <c r="AB51" s="320">
        <v>37.125</v>
      </c>
      <c r="AC51" s="320">
        <v>37.125</v>
      </c>
      <c r="AD51" s="320">
        <v>37.125</v>
      </c>
      <c r="AE51" s="320">
        <v>37.125</v>
      </c>
      <c r="AF51" s="320">
        <v>37.125</v>
      </c>
      <c r="AG51" s="320">
        <v>37.125</v>
      </c>
      <c r="AH51" s="320">
        <v>37.125</v>
      </c>
      <c r="AI51" s="320">
        <v>37.125</v>
      </c>
      <c r="AJ51" s="320">
        <v>37.125</v>
      </c>
      <c r="AK51" s="320">
        <v>37.125</v>
      </c>
      <c r="AL51" s="320">
        <v>37.125</v>
      </c>
    </row>
    <row r="52" spans="1:40" outlineLevel="1">
      <c r="C52" s="51"/>
      <c r="E52" s="53" t="s">
        <v>213</v>
      </c>
      <c r="F52" s="311"/>
      <c r="G52" s="320"/>
      <c r="H52" s="312"/>
      <c r="I52" s="320"/>
      <c r="J52" s="320"/>
      <c r="K52" s="320">
        <v>400</v>
      </c>
      <c r="L52" s="320">
        <v>750</v>
      </c>
      <c r="M52" s="320">
        <v>1000</v>
      </c>
      <c r="N52" s="320">
        <v>1050</v>
      </c>
      <c r="O52" s="320">
        <v>1102.5</v>
      </c>
      <c r="P52" s="320">
        <v>1157.625</v>
      </c>
      <c r="Q52" s="320">
        <v>1215.5062500000001</v>
      </c>
      <c r="R52" s="320">
        <v>1215.5062500000001</v>
      </c>
      <c r="S52" s="320">
        <v>1215.5062500000001</v>
      </c>
      <c r="T52" s="320">
        <v>1215.5062500000001</v>
      </c>
      <c r="U52" s="320">
        <v>1215.5062500000001</v>
      </c>
      <c r="V52" s="320">
        <v>1215.5062500000001</v>
      </c>
      <c r="W52" s="320">
        <v>1215.5062500000001</v>
      </c>
      <c r="X52" s="320">
        <v>1215.5062500000001</v>
      </c>
      <c r="Y52" s="320">
        <v>1215.5062500000001</v>
      </c>
      <c r="Z52" s="320">
        <v>1215.5062500000001</v>
      </c>
      <c r="AA52" s="320">
        <v>1215.5062500000001</v>
      </c>
      <c r="AB52" s="320">
        <v>1215.5062500000001</v>
      </c>
      <c r="AC52" s="320">
        <v>1215.5062500000001</v>
      </c>
      <c r="AD52" s="320">
        <v>1215.5062500000001</v>
      </c>
      <c r="AE52" s="320">
        <v>1215.5062500000001</v>
      </c>
      <c r="AF52" s="320">
        <v>1215.5062500000001</v>
      </c>
      <c r="AG52" s="320">
        <v>1215.5062500000001</v>
      </c>
      <c r="AH52" s="320">
        <v>1215.5062500000001</v>
      </c>
      <c r="AI52" s="320">
        <v>1215.5062500000001</v>
      </c>
      <c r="AJ52" s="320">
        <v>1215.5062500000001</v>
      </c>
      <c r="AK52" s="320">
        <v>1215.5062500000001</v>
      </c>
      <c r="AL52" s="320">
        <v>1215.5062500000001</v>
      </c>
    </row>
    <row r="53" spans="1:40" s="60" customFormat="1" outlineLevel="1">
      <c r="A53" s="59"/>
      <c r="C53" s="247"/>
      <c r="E53" s="54" t="s">
        <v>214</v>
      </c>
      <c r="F53" s="245"/>
      <c r="G53" s="246"/>
      <c r="H53" s="246"/>
      <c r="I53" s="246">
        <v>7255.5436799999989</v>
      </c>
      <c r="J53" s="246">
        <v>20740.124799999998</v>
      </c>
      <c r="K53" s="246">
        <v>21145.124799999998</v>
      </c>
      <c r="L53" s="246">
        <v>21502.624799999998</v>
      </c>
      <c r="M53" s="246">
        <v>21763.874799999998</v>
      </c>
      <c r="N53" s="246">
        <v>21817.249799999998</v>
      </c>
      <c r="O53" s="246">
        <v>21869.749799999998</v>
      </c>
      <c r="P53" s="246">
        <v>21924.874799999998</v>
      </c>
      <c r="Q53" s="246">
        <v>21982.756049999996</v>
      </c>
      <c r="R53" s="246">
        <v>21982.756049999996</v>
      </c>
      <c r="S53" s="246">
        <v>21982.756049999996</v>
      </c>
      <c r="T53" s="246">
        <v>21982.756049999996</v>
      </c>
      <c r="U53" s="246">
        <v>21982.756049999996</v>
      </c>
      <c r="V53" s="246">
        <v>21982.756049999996</v>
      </c>
      <c r="W53" s="246">
        <v>21982.756049999996</v>
      </c>
      <c r="X53" s="246">
        <v>21982.756049999996</v>
      </c>
      <c r="Y53" s="246">
        <v>21982.756049999996</v>
      </c>
      <c r="Z53" s="246">
        <v>21982.756049999996</v>
      </c>
      <c r="AA53" s="246">
        <v>21982.756049999996</v>
      </c>
      <c r="AB53" s="246">
        <v>21982.756049999996</v>
      </c>
      <c r="AC53" s="246">
        <v>21982.756049999996</v>
      </c>
      <c r="AD53" s="246">
        <v>21982.756049999996</v>
      </c>
      <c r="AE53" s="246">
        <v>21982.756049999996</v>
      </c>
      <c r="AF53" s="246">
        <v>21982.756049999996</v>
      </c>
      <c r="AG53" s="246">
        <v>21982.756049999996</v>
      </c>
      <c r="AH53" s="246">
        <v>21982.756049999996</v>
      </c>
      <c r="AI53" s="246">
        <v>21982.756049999996</v>
      </c>
      <c r="AJ53" s="246">
        <v>21982.756049999996</v>
      </c>
      <c r="AK53" s="246">
        <v>21982.756049999996</v>
      </c>
      <c r="AL53" s="246">
        <v>21982.756049999996</v>
      </c>
      <c r="AN53" s="31"/>
    </row>
    <row r="54" spans="1:40" ht="3.75" customHeight="1" outlineLevel="1">
      <c r="C54" s="247"/>
      <c r="E54" s="55"/>
      <c r="F54" s="56"/>
      <c r="G54" s="57"/>
      <c r="H54" s="57"/>
      <c r="I54" s="57"/>
      <c r="J54" s="58"/>
      <c r="K54" s="57"/>
      <c r="L54" s="58"/>
      <c r="M54" s="57"/>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row>
    <row r="55" spans="1:40" s="60" customFormat="1" outlineLevel="1">
      <c r="A55" s="59"/>
      <c r="C55" s="247"/>
      <c r="E55" s="52" t="s">
        <v>481</v>
      </c>
      <c r="F55" s="311"/>
      <c r="G55" s="317"/>
      <c r="H55" s="312"/>
      <c r="I55" s="318"/>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N55" s="59"/>
    </row>
    <row r="56" spans="1:40" outlineLevel="1">
      <c r="C56" s="51"/>
      <c r="E56" s="53" t="s">
        <v>405</v>
      </c>
      <c r="F56" s="311"/>
      <c r="G56" s="319"/>
      <c r="H56" s="312"/>
      <c r="I56" s="320">
        <v>110.43445479452053</v>
      </c>
      <c r="J56" s="320">
        <v>315.52701369863013</v>
      </c>
      <c r="K56" s="320">
        <v>315.52701369863013</v>
      </c>
      <c r="L56" s="320">
        <v>315.52701369863013</v>
      </c>
      <c r="M56" s="320">
        <v>315.52701369863013</v>
      </c>
      <c r="N56" s="320">
        <v>315.52701369863013</v>
      </c>
      <c r="O56" s="320">
        <v>315.52701369863013</v>
      </c>
      <c r="P56" s="320">
        <v>315.52701369863013</v>
      </c>
      <c r="Q56" s="320">
        <v>315.52701369863013</v>
      </c>
      <c r="R56" s="320">
        <v>315.52701369863013</v>
      </c>
      <c r="S56" s="320">
        <v>315.52701369863013</v>
      </c>
      <c r="T56" s="320">
        <v>315.52701369863013</v>
      </c>
      <c r="U56" s="320">
        <v>315.52701369863013</v>
      </c>
      <c r="V56" s="320">
        <v>315.52701369863013</v>
      </c>
      <c r="W56" s="320">
        <v>315.52701369863013</v>
      </c>
      <c r="X56" s="320">
        <v>315.52701369863013</v>
      </c>
      <c r="Y56" s="320">
        <v>315.52701369863013</v>
      </c>
      <c r="Z56" s="320">
        <v>315.52701369863013</v>
      </c>
      <c r="AA56" s="320">
        <v>315.52701369863013</v>
      </c>
      <c r="AB56" s="320">
        <v>315.52701369863013</v>
      </c>
      <c r="AC56" s="320">
        <v>315.52701369863013</v>
      </c>
      <c r="AD56" s="320">
        <v>315.52701369863013</v>
      </c>
      <c r="AE56" s="320">
        <v>315.52701369863013</v>
      </c>
      <c r="AF56" s="320">
        <v>315.52701369863013</v>
      </c>
      <c r="AG56" s="320">
        <v>315.52701369863013</v>
      </c>
      <c r="AH56" s="320">
        <v>315.52701369863013</v>
      </c>
      <c r="AI56" s="320">
        <v>315.52701369863013</v>
      </c>
      <c r="AJ56" s="320">
        <v>315.52701369863013</v>
      </c>
      <c r="AK56" s="320">
        <v>315.52701369863013</v>
      </c>
      <c r="AL56" s="320">
        <v>315.52701369863013</v>
      </c>
    </row>
    <row r="57" spans="1:40" outlineLevel="1">
      <c r="C57" s="51"/>
      <c r="E57" s="78" t="s">
        <v>406</v>
      </c>
      <c r="F57" s="325"/>
      <c r="G57" s="326"/>
      <c r="H57" s="327"/>
      <c r="I57" s="328">
        <v>27.608613698630133</v>
      </c>
      <c r="J57" s="328">
        <v>78.881753424657532</v>
      </c>
      <c r="K57" s="328">
        <v>78.881753424657532</v>
      </c>
      <c r="L57" s="328">
        <v>78.881753424657532</v>
      </c>
      <c r="M57" s="328">
        <v>78.881753424657532</v>
      </c>
      <c r="N57" s="328">
        <v>78.881753424657532</v>
      </c>
      <c r="O57" s="328">
        <v>78.881753424657532</v>
      </c>
      <c r="P57" s="328">
        <v>78.881753424657532</v>
      </c>
      <c r="Q57" s="328">
        <v>78.881753424657532</v>
      </c>
      <c r="R57" s="328">
        <v>78.881753424657532</v>
      </c>
      <c r="S57" s="328">
        <v>78.881753424657532</v>
      </c>
      <c r="T57" s="328">
        <v>78.881753424657532</v>
      </c>
      <c r="U57" s="328">
        <v>78.881753424657532</v>
      </c>
      <c r="V57" s="328">
        <v>78.881753424657532</v>
      </c>
      <c r="W57" s="328">
        <v>78.881753424657532</v>
      </c>
      <c r="X57" s="328">
        <v>78.881753424657532</v>
      </c>
      <c r="Y57" s="328">
        <v>78.881753424657532</v>
      </c>
      <c r="Z57" s="328">
        <v>78.881753424657532</v>
      </c>
      <c r="AA57" s="328">
        <v>78.881753424657532</v>
      </c>
      <c r="AB57" s="328">
        <v>78.881753424657532</v>
      </c>
      <c r="AC57" s="328">
        <v>78.881753424657532</v>
      </c>
      <c r="AD57" s="328">
        <v>78.881753424657532</v>
      </c>
      <c r="AE57" s="328">
        <v>78.881753424657532</v>
      </c>
      <c r="AF57" s="328">
        <v>78.881753424657532</v>
      </c>
      <c r="AG57" s="328">
        <v>78.881753424657532</v>
      </c>
      <c r="AH57" s="328">
        <v>78.881753424657532</v>
      </c>
      <c r="AI57" s="328">
        <v>78.881753424657532</v>
      </c>
      <c r="AJ57" s="328">
        <v>78.881753424657532</v>
      </c>
      <c r="AK57" s="328">
        <v>78.881753424657532</v>
      </c>
      <c r="AL57" s="328">
        <v>78.881753424657532</v>
      </c>
    </row>
    <row r="58" spans="1:40" outlineLevel="1">
      <c r="C58" s="51"/>
      <c r="E58" s="78" t="s">
        <v>407</v>
      </c>
      <c r="F58" s="325"/>
      <c r="G58" s="326"/>
      <c r="H58" s="327"/>
      <c r="I58" s="328">
        <v>82.825841095890397</v>
      </c>
      <c r="J58" s="328">
        <v>236.64526027397258</v>
      </c>
      <c r="K58" s="328">
        <v>236.64526027397258</v>
      </c>
      <c r="L58" s="328">
        <v>236.64526027397258</v>
      </c>
      <c r="M58" s="328">
        <v>236.64526027397258</v>
      </c>
      <c r="N58" s="328">
        <v>236.64526027397258</v>
      </c>
      <c r="O58" s="328">
        <v>236.64526027397258</v>
      </c>
      <c r="P58" s="328">
        <v>236.64526027397258</v>
      </c>
      <c r="Q58" s="328">
        <v>236.64526027397258</v>
      </c>
      <c r="R58" s="328">
        <v>236.64526027397258</v>
      </c>
      <c r="S58" s="328">
        <v>236.64526027397258</v>
      </c>
      <c r="T58" s="328">
        <v>236.64526027397258</v>
      </c>
      <c r="U58" s="328">
        <v>236.64526027397258</v>
      </c>
      <c r="V58" s="328">
        <v>236.64526027397258</v>
      </c>
      <c r="W58" s="328">
        <v>236.64526027397258</v>
      </c>
      <c r="X58" s="328">
        <v>236.64526027397258</v>
      </c>
      <c r="Y58" s="328">
        <v>236.64526027397258</v>
      </c>
      <c r="Z58" s="328">
        <v>236.64526027397258</v>
      </c>
      <c r="AA58" s="328">
        <v>236.64526027397258</v>
      </c>
      <c r="AB58" s="328">
        <v>236.64526027397258</v>
      </c>
      <c r="AC58" s="328">
        <v>236.64526027397258</v>
      </c>
      <c r="AD58" s="328">
        <v>236.64526027397258</v>
      </c>
      <c r="AE58" s="328">
        <v>236.64526027397258</v>
      </c>
      <c r="AF58" s="328">
        <v>236.64526027397258</v>
      </c>
      <c r="AG58" s="328">
        <v>236.64526027397258</v>
      </c>
      <c r="AH58" s="328">
        <v>236.64526027397258</v>
      </c>
      <c r="AI58" s="328">
        <v>236.64526027397258</v>
      </c>
      <c r="AJ58" s="328">
        <v>236.64526027397258</v>
      </c>
      <c r="AK58" s="328">
        <v>236.64526027397258</v>
      </c>
      <c r="AL58" s="328">
        <v>236.64526027397258</v>
      </c>
    </row>
    <row r="59" spans="1:40" outlineLevel="1">
      <c r="C59" s="51"/>
      <c r="E59" s="53" t="s">
        <v>212</v>
      </c>
      <c r="F59" s="325"/>
      <c r="G59" s="328"/>
      <c r="H59" s="327"/>
      <c r="I59" s="328">
        <v>125.15904876712328</v>
      </c>
      <c r="J59" s="328">
        <v>357.59728219178078</v>
      </c>
      <c r="K59" s="328">
        <v>357.59728219178078</v>
      </c>
      <c r="L59" s="328">
        <v>357.59728219178078</v>
      </c>
      <c r="M59" s="328">
        <v>357.59728219178078</v>
      </c>
      <c r="N59" s="328">
        <v>357.59728219178078</v>
      </c>
      <c r="O59" s="328">
        <v>357.59728219178078</v>
      </c>
      <c r="P59" s="328">
        <v>357.59728219178078</v>
      </c>
      <c r="Q59" s="328">
        <v>357.59728219178078</v>
      </c>
      <c r="R59" s="328">
        <v>357.59728219178078</v>
      </c>
      <c r="S59" s="328">
        <v>357.59728219178078</v>
      </c>
      <c r="T59" s="328">
        <v>357.59728219178078</v>
      </c>
      <c r="U59" s="328">
        <v>357.59728219178078</v>
      </c>
      <c r="V59" s="328">
        <v>357.59728219178078</v>
      </c>
      <c r="W59" s="328">
        <v>357.59728219178078</v>
      </c>
      <c r="X59" s="328">
        <v>357.59728219178078</v>
      </c>
      <c r="Y59" s="328">
        <v>357.59728219178078</v>
      </c>
      <c r="Z59" s="328">
        <v>357.59728219178078</v>
      </c>
      <c r="AA59" s="328">
        <v>357.59728219178078</v>
      </c>
      <c r="AB59" s="328">
        <v>357.59728219178078</v>
      </c>
      <c r="AC59" s="328">
        <v>357.59728219178078</v>
      </c>
      <c r="AD59" s="328">
        <v>357.59728219178078</v>
      </c>
      <c r="AE59" s="328">
        <v>357.59728219178078</v>
      </c>
      <c r="AF59" s="328">
        <v>357.59728219178078</v>
      </c>
      <c r="AG59" s="328">
        <v>357.59728219178078</v>
      </c>
      <c r="AH59" s="328">
        <v>357.59728219178078</v>
      </c>
      <c r="AI59" s="328">
        <v>357.59728219178078</v>
      </c>
      <c r="AJ59" s="328">
        <v>357.59728219178078</v>
      </c>
      <c r="AK59" s="328">
        <v>357.59728219178078</v>
      </c>
      <c r="AL59" s="328">
        <v>357.59728219178078</v>
      </c>
    </row>
    <row r="60" spans="1:40" outlineLevel="1">
      <c r="C60" s="51"/>
      <c r="E60" s="53" t="s">
        <v>480</v>
      </c>
      <c r="F60" s="325"/>
      <c r="G60" s="328"/>
      <c r="H60" s="327"/>
      <c r="I60" s="328">
        <v>0</v>
      </c>
      <c r="J60" s="328">
        <v>0.41095890410958902</v>
      </c>
      <c r="K60" s="328">
        <v>0.61643835616438358</v>
      </c>
      <c r="L60" s="328">
        <v>0.92465753424657526</v>
      </c>
      <c r="M60" s="328">
        <v>1.3869863013698629</v>
      </c>
      <c r="N60" s="328">
        <v>1.5256849315068493</v>
      </c>
      <c r="O60" s="328">
        <v>1.5256849315068493</v>
      </c>
      <c r="P60" s="328">
        <v>1.5256849315068493</v>
      </c>
      <c r="Q60" s="328">
        <v>1.5256849315068493</v>
      </c>
      <c r="R60" s="328">
        <v>1.5256849315068493</v>
      </c>
      <c r="S60" s="328">
        <v>1.5256849315068493</v>
      </c>
      <c r="T60" s="328">
        <v>1.5256849315068493</v>
      </c>
      <c r="U60" s="328">
        <v>1.5256849315068493</v>
      </c>
      <c r="V60" s="328">
        <v>1.5256849315068493</v>
      </c>
      <c r="W60" s="328">
        <v>1.5256849315068493</v>
      </c>
      <c r="X60" s="328">
        <v>1.5256849315068493</v>
      </c>
      <c r="Y60" s="328">
        <v>1.5256849315068493</v>
      </c>
      <c r="Z60" s="328">
        <v>1.5256849315068493</v>
      </c>
      <c r="AA60" s="328">
        <v>1.5256849315068493</v>
      </c>
      <c r="AB60" s="328">
        <v>1.5256849315068493</v>
      </c>
      <c r="AC60" s="328">
        <v>1.5256849315068493</v>
      </c>
      <c r="AD60" s="328">
        <v>1.5256849315068493</v>
      </c>
      <c r="AE60" s="328">
        <v>1.5256849315068493</v>
      </c>
      <c r="AF60" s="328">
        <v>1.5256849315068493</v>
      </c>
      <c r="AG60" s="328">
        <v>1.5256849315068493</v>
      </c>
      <c r="AH60" s="328">
        <v>1.5256849315068493</v>
      </c>
      <c r="AI60" s="328">
        <v>1.5256849315068493</v>
      </c>
      <c r="AJ60" s="328">
        <v>1.5256849315068493</v>
      </c>
      <c r="AK60" s="328">
        <v>1.5256849315068493</v>
      </c>
      <c r="AL60" s="328">
        <v>1.5256849315068493</v>
      </c>
    </row>
    <row r="61" spans="1:40" outlineLevel="1">
      <c r="C61" s="51"/>
      <c r="E61" s="53" t="s">
        <v>213</v>
      </c>
      <c r="F61" s="325"/>
      <c r="G61" s="328"/>
      <c r="H61" s="327"/>
      <c r="I61" s="328">
        <v>0</v>
      </c>
      <c r="J61" s="328">
        <v>0</v>
      </c>
      <c r="K61" s="328">
        <v>16.43835616438356</v>
      </c>
      <c r="L61" s="328">
        <v>30.821917808219183</v>
      </c>
      <c r="M61" s="328">
        <v>41.095890410958901</v>
      </c>
      <c r="N61" s="328">
        <v>43.150684931506845</v>
      </c>
      <c r="O61" s="328">
        <v>45.30821917808219</v>
      </c>
      <c r="P61" s="328">
        <v>47.573630136986303</v>
      </c>
      <c r="Q61" s="328">
        <v>49.952311643835628</v>
      </c>
      <c r="R61" s="328">
        <v>49.952311643835628</v>
      </c>
      <c r="S61" s="328">
        <v>49.952311643835628</v>
      </c>
      <c r="T61" s="328">
        <v>49.952311643835628</v>
      </c>
      <c r="U61" s="328">
        <v>49.952311643835628</v>
      </c>
      <c r="V61" s="328">
        <v>49.952311643835628</v>
      </c>
      <c r="W61" s="328">
        <v>49.952311643835628</v>
      </c>
      <c r="X61" s="328">
        <v>49.952311643835628</v>
      </c>
      <c r="Y61" s="328">
        <v>49.952311643835628</v>
      </c>
      <c r="Z61" s="328">
        <v>49.952311643835628</v>
      </c>
      <c r="AA61" s="328">
        <v>49.952311643835628</v>
      </c>
      <c r="AB61" s="328">
        <v>49.952311643835628</v>
      </c>
      <c r="AC61" s="328">
        <v>49.952311643835628</v>
      </c>
      <c r="AD61" s="328">
        <v>49.952311643835628</v>
      </c>
      <c r="AE61" s="328">
        <v>49.952311643835628</v>
      </c>
      <c r="AF61" s="328">
        <v>49.952311643835628</v>
      </c>
      <c r="AG61" s="328">
        <v>49.952311643835628</v>
      </c>
      <c r="AH61" s="328">
        <v>49.952311643835628</v>
      </c>
      <c r="AI61" s="328">
        <v>49.952311643835628</v>
      </c>
      <c r="AJ61" s="328">
        <v>49.952311643835628</v>
      </c>
      <c r="AK61" s="328">
        <v>49.952311643835628</v>
      </c>
      <c r="AL61" s="328">
        <v>49.952311643835628</v>
      </c>
    </row>
    <row r="62" spans="1:40" s="60" customFormat="1" outlineLevel="1">
      <c r="A62" s="59"/>
      <c r="C62" s="247"/>
      <c r="E62" s="54" t="s">
        <v>214</v>
      </c>
      <c r="F62" s="329"/>
      <c r="G62" s="330"/>
      <c r="H62" s="330"/>
      <c r="I62" s="330">
        <v>235.59350356164381</v>
      </c>
      <c r="J62" s="330">
        <v>673.53525479452048</v>
      </c>
      <c r="K62" s="330">
        <v>690.17909041095879</v>
      </c>
      <c r="L62" s="330">
        <v>704.87087123287654</v>
      </c>
      <c r="M62" s="330">
        <v>715.60717260273964</v>
      </c>
      <c r="N62" s="330">
        <v>717.80066575342448</v>
      </c>
      <c r="O62" s="330">
        <v>719.95819999999981</v>
      </c>
      <c r="P62" s="330">
        <v>722.22361095890392</v>
      </c>
      <c r="Q62" s="330">
        <v>724.60229246575329</v>
      </c>
      <c r="R62" s="330">
        <v>724.60229246575329</v>
      </c>
      <c r="S62" s="330">
        <v>724.60229246575329</v>
      </c>
      <c r="T62" s="330">
        <v>724.60229246575329</v>
      </c>
      <c r="U62" s="330">
        <v>724.60229246575329</v>
      </c>
      <c r="V62" s="330">
        <v>724.60229246575329</v>
      </c>
      <c r="W62" s="330">
        <v>724.60229246575329</v>
      </c>
      <c r="X62" s="330">
        <v>724.60229246575329</v>
      </c>
      <c r="Y62" s="330">
        <v>724.60229246575329</v>
      </c>
      <c r="Z62" s="330">
        <v>724.60229246575329</v>
      </c>
      <c r="AA62" s="330">
        <v>724.60229246575329</v>
      </c>
      <c r="AB62" s="330">
        <v>724.60229246575329</v>
      </c>
      <c r="AC62" s="330">
        <v>724.60229246575329</v>
      </c>
      <c r="AD62" s="330">
        <v>724.60229246575329</v>
      </c>
      <c r="AE62" s="330">
        <v>724.60229246575329</v>
      </c>
      <c r="AF62" s="330">
        <v>724.60229246575329</v>
      </c>
      <c r="AG62" s="330">
        <v>724.60229246575329</v>
      </c>
      <c r="AH62" s="330">
        <v>724.60229246575329</v>
      </c>
      <c r="AI62" s="330">
        <v>724.60229246575329</v>
      </c>
      <c r="AJ62" s="330">
        <v>724.60229246575329</v>
      </c>
      <c r="AK62" s="330">
        <v>724.60229246575329</v>
      </c>
      <c r="AL62" s="330">
        <v>724.60229246575329</v>
      </c>
      <c r="AN62" s="31"/>
    </row>
    <row r="63" spans="1:40" ht="3.75" customHeight="1" outlineLevel="1">
      <c r="C63" s="247"/>
      <c r="E63" s="55"/>
      <c r="F63" s="56"/>
      <c r="G63" s="57"/>
      <c r="H63" s="57"/>
      <c r="I63" s="57"/>
      <c r="J63" s="58"/>
      <c r="K63" s="57"/>
      <c r="L63" s="58"/>
      <c r="M63" s="57"/>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row>
    <row r="64" spans="1:40" s="60" customFormat="1" outlineLevel="1">
      <c r="A64" s="59"/>
      <c r="C64" s="247"/>
      <c r="E64" s="52" t="s">
        <v>103</v>
      </c>
      <c r="F64" s="311"/>
      <c r="G64" s="317"/>
      <c r="H64" s="312"/>
      <c r="I64" s="318"/>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N64" s="59"/>
    </row>
    <row r="65" spans="1:40" outlineLevel="1">
      <c r="C65" s="51"/>
      <c r="E65" s="53" t="s">
        <v>405</v>
      </c>
      <c r="F65" s="325">
        <v>0</v>
      </c>
      <c r="G65" s="327">
        <v>0</v>
      </c>
      <c r="H65" s="327">
        <v>0</v>
      </c>
      <c r="I65" s="328">
        <v>2576.8039452054791</v>
      </c>
      <c r="J65" s="328">
        <v>7472.7314410958897</v>
      </c>
      <c r="K65" s="328">
        <v>7677.8239999999996</v>
      </c>
      <c r="L65" s="328">
        <v>7677.8239999999996</v>
      </c>
      <c r="M65" s="328">
        <v>7677.8239999999996</v>
      </c>
      <c r="N65" s="328">
        <v>7677.8239999999996</v>
      </c>
      <c r="O65" s="328">
        <v>7677.8239999999996</v>
      </c>
      <c r="P65" s="328">
        <v>7677.8239999999996</v>
      </c>
      <c r="Q65" s="328">
        <v>7677.8239999999996</v>
      </c>
      <c r="R65" s="328">
        <v>7677.8239999999996</v>
      </c>
      <c r="S65" s="328">
        <v>7677.8239999999996</v>
      </c>
      <c r="T65" s="328">
        <v>7677.8239999999996</v>
      </c>
      <c r="U65" s="328">
        <v>7677.8239999999996</v>
      </c>
      <c r="V65" s="328">
        <v>7677.8239999999996</v>
      </c>
      <c r="W65" s="328">
        <v>7677.8239999999996</v>
      </c>
      <c r="X65" s="328">
        <v>7677.8239999999996</v>
      </c>
      <c r="Y65" s="328">
        <v>7677.8239999999996</v>
      </c>
      <c r="Z65" s="328">
        <v>7677.8239999999996</v>
      </c>
      <c r="AA65" s="328">
        <v>7677.8239999999996</v>
      </c>
      <c r="AB65" s="328">
        <v>7677.8239999999996</v>
      </c>
      <c r="AC65" s="328">
        <v>7677.8239999999996</v>
      </c>
      <c r="AD65" s="328">
        <v>7677.8239999999996</v>
      </c>
      <c r="AE65" s="328">
        <v>7677.8239999999996</v>
      </c>
      <c r="AF65" s="328">
        <v>7677.8239999999996</v>
      </c>
      <c r="AG65" s="328">
        <v>7677.8239999999996</v>
      </c>
      <c r="AH65" s="328">
        <v>7677.8239999999996</v>
      </c>
      <c r="AI65" s="328">
        <v>7677.8239999999996</v>
      </c>
      <c r="AJ65" s="328">
        <v>7677.8239999999996</v>
      </c>
      <c r="AK65" s="328">
        <v>7677.8239999999996</v>
      </c>
      <c r="AL65" s="328">
        <v>7677.8239999999996</v>
      </c>
    </row>
    <row r="66" spans="1:40" outlineLevel="1">
      <c r="C66" s="51"/>
      <c r="E66" s="78" t="s">
        <v>406</v>
      </c>
      <c r="F66" s="325">
        <v>0</v>
      </c>
      <c r="G66" s="327">
        <v>0</v>
      </c>
      <c r="H66" s="327">
        <v>0</v>
      </c>
      <c r="I66" s="328">
        <v>644.20098630136977</v>
      </c>
      <c r="J66" s="328">
        <v>1868.1828602739724</v>
      </c>
      <c r="K66" s="328">
        <v>1919.4559999999999</v>
      </c>
      <c r="L66" s="328">
        <v>1919.4559999999999</v>
      </c>
      <c r="M66" s="328">
        <v>1919.4559999999999</v>
      </c>
      <c r="N66" s="328">
        <v>1919.4559999999999</v>
      </c>
      <c r="O66" s="328">
        <v>1919.4559999999999</v>
      </c>
      <c r="P66" s="328">
        <v>1919.4559999999999</v>
      </c>
      <c r="Q66" s="328">
        <v>1919.4559999999999</v>
      </c>
      <c r="R66" s="328">
        <v>1919.4559999999999</v>
      </c>
      <c r="S66" s="328">
        <v>1919.4559999999999</v>
      </c>
      <c r="T66" s="328">
        <v>1919.4559999999999</v>
      </c>
      <c r="U66" s="328">
        <v>1919.4559999999999</v>
      </c>
      <c r="V66" s="328">
        <v>1919.4559999999999</v>
      </c>
      <c r="W66" s="328">
        <v>1919.4559999999999</v>
      </c>
      <c r="X66" s="328">
        <v>1919.4559999999999</v>
      </c>
      <c r="Y66" s="328">
        <v>1919.4559999999999</v>
      </c>
      <c r="Z66" s="328">
        <v>1919.4559999999999</v>
      </c>
      <c r="AA66" s="328">
        <v>1919.4559999999999</v>
      </c>
      <c r="AB66" s="328">
        <v>1919.4559999999999</v>
      </c>
      <c r="AC66" s="328">
        <v>1919.4559999999999</v>
      </c>
      <c r="AD66" s="328">
        <v>1919.4559999999999</v>
      </c>
      <c r="AE66" s="328">
        <v>1919.4559999999999</v>
      </c>
      <c r="AF66" s="328">
        <v>1919.4559999999999</v>
      </c>
      <c r="AG66" s="328">
        <v>1919.4559999999999</v>
      </c>
      <c r="AH66" s="328">
        <v>1919.4559999999999</v>
      </c>
      <c r="AI66" s="328">
        <v>1919.4559999999999</v>
      </c>
      <c r="AJ66" s="328">
        <v>1919.4559999999999</v>
      </c>
      <c r="AK66" s="328">
        <v>1919.4559999999999</v>
      </c>
      <c r="AL66" s="328">
        <v>1919.4559999999999</v>
      </c>
    </row>
    <row r="67" spans="1:40" outlineLevel="1">
      <c r="C67" s="51"/>
      <c r="E67" s="78" t="s">
        <v>407</v>
      </c>
      <c r="F67" s="325">
        <v>0</v>
      </c>
      <c r="G67" s="327">
        <v>0</v>
      </c>
      <c r="H67" s="327">
        <v>0</v>
      </c>
      <c r="I67" s="328">
        <v>1932.6029589041093</v>
      </c>
      <c r="J67" s="328">
        <v>5604.5485808219173</v>
      </c>
      <c r="K67" s="328">
        <v>5758.3679999999995</v>
      </c>
      <c r="L67" s="328">
        <v>5758.3679999999995</v>
      </c>
      <c r="M67" s="328">
        <v>5758.3679999999995</v>
      </c>
      <c r="N67" s="328">
        <v>5758.3679999999995</v>
      </c>
      <c r="O67" s="328">
        <v>5758.3679999999995</v>
      </c>
      <c r="P67" s="328">
        <v>5758.3679999999995</v>
      </c>
      <c r="Q67" s="328">
        <v>5758.3679999999995</v>
      </c>
      <c r="R67" s="328">
        <v>5758.3679999999995</v>
      </c>
      <c r="S67" s="328">
        <v>5758.3679999999995</v>
      </c>
      <c r="T67" s="328">
        <v>5758.3679999999995</v>
      </c>
      <c r="U67" s="328">
        <v>5758.3679999999995</v>
      </c>
      <c r="V67" s="328">
        <v>5758.3679999999995</v>
      </c>
      <c r="W67" s="328">
        <v>5758.3679999999995</v>
      </c>
      <c r="X67" s="328">
        <v>5758.3679999999995</v>
      </c>
      <c r="Y67" s="328">
        <v>5758.3679999999995</v>
      </c>
      <c r="Z67" s="328">
        <v>5758.3679999999995</v>
      </c>
      <c r="AA67" s="328">
        <v>5758.3679999999995</v>
      </c>
      <c r="AB67" s="328">
        <v>5758.3679999999995</v>
      </c>
      <c r="AC67" s="328">
        <v>5758.3679999999995</v>
      </c>
      <c r="AD67" s="328">
        <v>5758.3679999999995</v>
      </c>
      <c r="AE67" s="328">
        <v>5758.3679999999995</v>
      </c>
      <c r="AF67" s="328">
        <v>5758.3679999999995</v>
      </c>
      <c r="AG67" s="328">
        <v>5758.3679999999995</v>
      </c>
      <c r="AH67" s="328">
        <v>5758.3679999999995</v>
      </c>
      <c r="AI67" s="328">
        <v>5758.3679999999995</v>
      </c>
      <c r="AJ67" s="328">
        <v>5758.3679999999995</v>
      </c>
      <c r="AK67" s="328">
        <v>5758.3679999999995</v>
      </c>
      <c r="AL67" s="328">
        <v>5758.3679999999995</v>
      </c>
    </row>
    <row r="68" spans="1:40" outlineLevel="1">
      <c r="C68" s="51"/>
      <c r="E68" s="53" t="s">
        <v>212</v>
      </c>
      <c r="F68" s="325">
        <v>0</v>
      </c>
      <c r="G68" s="327">
        <v>0</v>
      </c>
      <c r="H68" s="327">
        <v>0</v>
      </c>
      <c r="I68" s="328">
        <v>4443.1462312328767</v>
      </c>
      <c r="J68" s="328">
        <v>12819.862566575342</v>
      </c>
      <c r="K68" s="328">
        <v>13052.300799999999</v>
      </c>
      <c r="L68" s="328">
        <v>13052.300799999999</v>
      </c>
      <c r="M68" s="328">
        <v>13052.300799999999</v>
      </c>
      <c r="N68" s="328">
        <v>13052.300799999999</v>
      </c>
      <c r="O68" s="328">
        <v>13052.300799999999</v>
      </c>
      <c r="P68" s="328">
        <v>13052.300799999999</v>
      </c>
      <c r="Q68" s="328">
        <v>13052.300799999999</v>
      </c>
      <c r="R68" s="328">
        <v>13052.300799999999</v>
      </c>
      <c r="S68" s="328">
        <v>13052.300799999999</v>
      </c>
      <c r="T68" s="328">
        <v>13052.300799999999</v>
      </c>
      <c r="U68" s="328">
        <v>13052.300799999999</v>
      </c>
      <c r="V68" s="328">
        <v>13052.300799999999</v>
      </c>
      <c r="W68" s="328">
        <v>13052.300799999999</v>
      </c>
      <c r="X68" s="328">
        <v>13052.300799999999</v>
      </c>
      <c r="Y68" s="328">
        <v>13052.300799999999</v>
      </c>
      <c r="Z68" s="328">
        <v>13052.300799999999</v>
      </c>
      <c r="AA68" s="328">
        <v>13052.300799999999</v>
      </c>
      <c r="AB68" s="328">
        <v>13052.300799999999</v>
      </c>
      <c r="AC68" s="328">
        <v>13052.300799999999</v>
      </c>
      <c r="AD68" s="328">
        <v>13052.300799999999</v>
      </c>
      <c r="AE68" s="328">
        <v>13052.300799999999</v>
      </c>
      <c r="AF68" s="328">
        <v>13052.300799999999</v>
      </c>
      <c r="AG68" s="328">
        <v>13052.300799999999</v>
      </c>
      <c r="AH68" s="328">
        <v>13052.300799999999</v>
      </c>
      <c r="AI68" s="328">
        <v>13052.300799999999</v>
      </c>
      <c r="AJ68" s="328">
        <v>13052.300799999999</v>
      </c>
      <c r="AK68" s="328">
        <v>13052.300799999999</v>
      </c>
      <c r="AL68" s="328">
        <v>13052.300799999999</v>
      </c>
    </row>
    <row r="69" spans="1:40" outlineLevel="1">
      <c r="C69" s="51"/>
      <c r="E69" s="53" t="s">
        <v>480</v>
      </c>
      <c r="F69" s="325">
        <v>0</v>
      </c>
      <c r="G69" s="327">
        <v>0</v>
      </c>
      <c r="H69" s="327">
        <v>0</v>
      </c>
      <c r="I69" s="328">
        <v>0</v>
      </c>
      <c r="J69" s="328">
        <v>9.5890410958904102</v>
      </c>
      <c r="K69" s="328">
        <v>14.794520547945206</v>
      </c>
      <c r="L69" s="328">
        <v>22.19178082191781</v>
      </c>
      <c r="M69" s="328">
        <v>33.287671232876711</v>
      </c>
      <c r="N69" s="328">
        <v>36.986301369863014</v>
      </c>
      <c r="O69" s="328">
        <v>37.125</v>
      </c>
      <c r="P69" s="328">
        <v>37.125</v>
      </c>
      <c r="Q69" s="328">
        <v>37.125</v>
      </c>
      <c r="R69" s="328">
        <v>37.125</v>
      </c>
      <c r="S69" s="328">
        <v>37.125</v>
      </c>
      <c r="T69" s="328">
        <v>37.125</v>
      </c>
      <c r="U69" s="328">
        <v>37.125</v>
      </c>
      <c r="V69" s="328">
        <v>37.125</v>
      </c>
      <c r="W69" s="328">
        <v>37.125</v>
      </c>
      <c r="X69" s="328">
        <v>37.125</v>
      </c>
      <c r="Y69" s="328">
        <v>37.125</v>
      </c>
      <c r="Z69" s="328">
        <v>37.125</v>
      </c>
      <c r="AA69" s="328">
        <v>37.125</v>
      </c>
      <c r="AB69" s="328">
        <v>37.125</v>
      </c>
      <c r="AC69" s="328">
        <v>37.125</v>
      </c>
      <c r="AD69" s="328">
        <v>37.125</v>
      </c>
      <c r="AE69" s="328">
        <v>37.125</v>
      </c>
      <c r="AF69" s="328">
        <v>37.125</v>
      </c>
      <c r="AG69" s="328">
        <v>37.125</v>
      </c>
      <c r="AH69" s="328">
        <v>37.125</v>
      </c>
      <c r="AI69" s="328">
        <v>37.125</v>
      </c>
      <c r="AJ69" s="328">
        <v>37.125</v>
      </c>
      <c r="AK69" s="328">
        <v>37.125</v>
      </c>
      <c r="AL69" s="328">
        <v>37.125</v>
      </c>
    </row>
    <row r="70" spans="1:40" outlineLevel="1">
      <c r="C70" s="51"/>
      <c r="E70" s="53" t="s">
        <v>213</v>
      </c>
      <c r="F70" s="325">
        <v>0</v>
      </c>
      <c r="G70" s="327">
        <v>0</v>
      </c>
      <c r="H70" s="327">
        <v>0</v>
      </c>
      <c r="I70" s="328">
        <v>0</v>
      </c>
      <c r="J70" s="328">
        <v>0</v>
      </c>
      <c r="K70" s="328">
        <v>383.56164383561645</v>
      </c>
      <c r="L70" s="328">
        <v>735.61643835616439</v>
      </c>
      <c r="M70" s="328">
        <v>989.72602739726028</v>
      </c>
      <c r="N70" s="328">
        <v>1047.9452054794522</v>
      </c>
      <c r="O70" s="328">
        <v>1100.3424657534247</v>
      </c>
      <c r="P70" s="328">
        <v>1155.3595890410959</v>
      </c>
      <c r="Q70" s="328">
        <v>1213.1275684931509</v>
      </c>
      <c r="R70" s="328">
        <v>1215.5062500000001</v>
      </c>
      <c r="S70" s="328">
        <v>1215.5062500000001</v>
      </c>
      <c r="T70" s="328">
        <v>1215.5062500000001</v>
      </c>
      <c r="U70" s="328">
        <v>1215.5062500000001</v>
      </c>
      <c r="V70" s="328">
        <v>1215.5062500000001</v>
      </c>
      <c r="W70" s="328">
        <v>1215.5062500000001</v>
      </c>
      <c r="X70" s="328">
        <v>1215.5062500000001</v>
      </c>
      <c r="Y70" s="328">
        <v>1215.5062500000001</v>
      </c>
      <c r="Z70" s="328">
        <v>1215.5062500000001</v>
      </c>
      <c r="AA70" s="328">
        <v>1215.5062500000001</v>
      </c>
      <c r="AB70" s="328">
        <v>1215.5062500000001</v>
      </c>
      <c r="AC70" s="328">
        <v>1215.5062500000001</v>
      </c>
      <c r="AD70" s="328">
        <v>1215.5062500000001</v>
      </c>
      <c r="AE70" s="328">
        <v>1215.5062500000001</v>
      </c>
      <c r="AF70" s="328">
        <v>1215.5062500000001</v>
      </c>
      <c r="AG70" s="328">
        <v>1215.5062500000001</v>
      </c>
      <c r="AH70" s="328">
        <v>1215.5062500000001</v>
      </c>
      <c r="AI70" s="328">
        <v>1215.5062500000001</v>
      </c>
      <c r="AJ70" s="328">
        <v>1215.5062500000001</v>
      </c>
      <c r="AK70" s="328">
        <v>1215.5062500000001</v>
      </c>
      <c r="AL70" s="328">
        <v>1215.5062500000001</v>
      </c>
    </row>
    <row r="71" spans="1:40" s="60" customFormat="1" outlineLevel="1">
      <c r="A71" s="59"/>
      <c r="C71" s="247"/>
      <c r="E71" s="54" t="s">
        <v>214</v>
      </c>
      <c r="F71" s="245">
        <v>0</v>
      </c>
      <c r="G71" s="246">
        <v>0</v>
      </c>
      <c r="H71" s="246">
        <v>0</v>
      </c>
      <c r="I71" s="246">
        <v>7019.9501764383558</v>
      </c>
      <c r="J71" s="246">
        <v>20302.183048767121</v>
      </c>
      <c r="K71" s="246">
        <v>21128.480964383558</v>
      </c>
      <c r="L71" s="246">
        <v>21487.933019178079</v>
      </c>
      <c r="M71" s="246">
        <v>21753.138498630135</v>
      </c>
      <c r="N71" s="246">
        <v>21815.056306849314</v>
      </c>
      <c r="O71" s="246">
        <v>21867.592265753421</v>
      </c>
      <c r="P71" s="246">
        <v>21922.609389041092</v>
      </c>
      <c r="Q71" s="246">
        <v>21980.377368493148</v>
      </c>
      <c r="R71" s="246">
        <v>21982.756049999996</v>
      </c>
      <c r="S71" s="246">
        <v>21982.756049999996</v>
      </c>
      <c r="T71" s="246">
        <v>21982.756049999996</v>
      </c>
      <c r="U71" s="246">
        <v>21982.756049999996</v>
      </c>
      <c r="V71" s="246">
        <v>21982.756049999996</v>
      </c>
      <c r="W71" s="246">
        <v>21982.756049999996</v>
      </c>
      <c r="X71" s="246">
        <v>21982.756049999996</v>
      </c>
      <c r="Y71" s="246">
        <v>21982.756049999996</v>
      </c>
      <c r="Z71" s="246">
        <v>21982.756049999996</v>
      </c>
      <c r="AA71" s="246">
        <v>21982.756049999996</v>
      </c>
      <c r="AB71" s="246">
        <v>21982.756049999996</v>
      </c>
      <c r="AC71" s="246">
        <v>21982.756049999996</v>
      </c>
      <c r="AD71" s="246">
        <v>21982.756049999996</v>
      </c>
      <c r="AE71" s="246">
        <v>21982.756049999996</v>
      </c>
      <c r="AF71" s="246">
        <v>21982.756049999996</v>
      </c>
      <c r="AG71" s="246">
        <v>21982.756049999996</v>
      </c>
      <c r="AH71" s="246">
        <v>21982.756049999996</v>
      </c>
      <c r="AI71" s="246">
        <v>21982.756049999996</v>
      </c>
      <c r="AJ71" s="246">
        <v>21982.756049999996</v>
      </c>
      <c r="AK71" s="246">
        <v>21982.756049999996</v>
      </c>
      <c r="AL71" s="246">
        <v>21982.756049999996</v>
      </c>
      <c r="AN71" s="31"/>
    </row>
    <row r="72" spans="1:40" ht="3.75" customHeight="1" outlineLevel="1">
      <c r="E72" s="55"/>
      <c r="F72" s="56"/>
      <c r="G72" s="57"/>
      <c r="H72" s="57"/>
      <c r="I72" s="57"/>
      <c r="J72" s="58"/>
      <c r="K72" s="57"/>
      <c r="L72" s="58"/>
      <c r="M72" s="57"/>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row>
    <row r="73" spans="1:40">
      <c r="C73" s="417"/>
      <c r="E73" s="52" t="s">
        <v>215</v>
      </c>
      <c r="F73" s="331"/>
      <c r="G73" s="332"/>
      <c r="H73" s="333"/>
      <c r="I73" s="332"/>
      <c r="J73" s="332"/>
      <c r="K73" s="332"/>
      <c r="L73" s="332"/>
      <c r="M73" s="332"/>
      <c r="N73" s="332"/>
      <c r="O73" s="332"/>
      <c r="P73" s="332"/>
      <c r="Q73" s="332"/>
      <c r="R73" s="332"/>
      <c r="S73" s="332"/>
      <c r="T73" s="332"/>
      <c r="U73" s="332"/>
      <c r="V73" s="332"/>
      <c r="W73" s="332"/>
      <c r="X73" s="332"/>
      <c r="Y73" s="332"/>
      <c r="Z73" s="332"/>
      <c r="AA73" s="332"/>
      <c r="AB73" s="332"/>
      <c r="AC73" s="332"/>
      <c r="AD73" s="332"/>
      <c r="AE73" s="332"/>
      <c r="AF73" s="332"/>
      <c r="AG73" s="332"/>
      <c r="AH73" s="332"/>
      <c r="AI73" s="332"/>
      <c r="AJ73" s="332"/>
      <c r="AK73" s="332"/>
      <c r="AL73" s="332"/>
    </row>
    <row r="74" spans="1:40">
      <c r="C74" s="417"/>
      <c r="E74" s="53" t="s">
        <v>397</v>
      </c>
      <c r="F74" s="334"/>
      <c r="G74" s="335"/>
      <c r="H74" s="335"/>
      <c r="I74" s="335">
        <v>14.980402795582567</v>
      </c>
      <c r="J74" s="335">
        <v>12.728638964414783</v>
      </c>
      <c r="K74" s="335">
        <v>12.619505953191512</v>
      </c>
      <c r="L74" s="335">
        <v>12.511827072656306</v>
      </c>
      <c r="M74" s="335">
        <v>12.421094566113325</v>
      </c>
      <c r="N74" s="335">
        <v>12.363111561931982</v>
      </c>
      <c r="O74" s="335">
        <v>12.305064799498291</v>
      </c>
      <c r="P74" s="335">
        <v>12.246395938099534</v>
      </c>
      <c r="Q74" s="335">
        <v>12.187074304720317</v>
      </c>
      <c r="R74" s="335">
        <v>12.137349009746375</v>
      </c>
      <c r="S74" s="335">
        <v>12.087828710299801</v>
      </c>
      <c r="T74" s="335">
        <v>12.038536803134203</v>
      </c>
      <c r="U74" s="335">
        <v>11.989497539929275</v>
      </c>
      <c r="V74" s="335">
        <v>11.940736053791998</v>
      </c>
      <c r="W74" s="335">
        <v>11.892278386544625</v>
      </c>
      <c r="X74" s="335">
        <v>11.844151516822508</v>
      </c>
      <c r="Y74" s="335">
        <v>11.796383389005628</v>
      </c>
      <c r="Z74" s="335">
        <v>11.749002943008326</v>
      </c>
      <c r="AA74" s="335">
        <v>11.70204014495255</v>
      </c>
      <c r="AB74" s="335">
        <v>11.655526018750514</v>
      </c>
      <c r="AC74" s="335">
        <v>11.609492678623633</v>
      </c>
      <c r="AD74" s="335">
        <v>11.563973362585205</v>
      </c>
      <c r="AE74" s="335">
        <v>11.519002466915232</v>
      </c>
      <c r="AF74" s="335">
        <v>11.474615581656588</v>
      </c>
      <c r="AG74" s="335">
        <v>11.430849527162572</v>
      </c>
      <c r="AH74" s="335">
        <v>11.387742391726787</v>
      </c>
      <c r="AI74" s="335">
        <v>11.345333570327254</v>
      </c>
      <c r="AJ74" s="335">
        <v>11.303663804517461</v>
      </c>
      <c r="AK74" s="335">
        <v>11.262775223498201</v>
      </c>
      <c r="AL74" s="335">
        <v>11.222711386404946</v>
      </c>
    </row>
    <row r="75" spans="1:40">
      <c r="C75" s="417"/>
      <c r="E75" s="53" t="s">
        <v>396</v>
      </c>
      <c r="F75" s="334"/>
      <c r="G75" s="335"/>
      <c r="H75" s="335"/>
      <c r="I75" s="335">
        <v>14.795650341390211</v>
      </c>
      <c r="J75" s="335">
        <v>12.54624866244642</v>
      </c>
      <c r="K75" s="335">
        <v>12.439504968197717</v>
      </c>
      <c r="L75" s="335">
        <v>12.33424288178229</v>
      </c>
      <c r="M75" s="335">
        <v>12.245954962491464</v>
      </c>
      <c r="N75" s="335">
        <v>12.190444658315677</v>
      </c>
      <c r="O75" s="335">
        <v>12.134899031937605</v>
      </c>
      <c r="P75" s="335">
        <v>12.078760069659104</v>
      </c>
      <c r="Q75" s="335">
        <v>12.021997429240029</v>
      </c>
      <c r="R75" s="335">
        <v>11.97486055564527</v>
      </c>
      <c r="S75" s="335">
        <v>11.927958444423739</v>
      </c>
      <c r="T75" s="335">
        <v>11.881314834647776</v>
      </c>
      <c r="U75" s="335">
        <v>11.834954324252458</v>
      </c>
      <c r="V75" s="335">
        <v>11.788902396582102</v>
      </c>
      <c r="W75" s="335">
        <v>11.743185447724022</v>
      </c>
      <c r="X75" s="335">
        <v>11.697830814652677</v>
      </c>
      <c r="Y75" s="335">
        <v>11.652866804208047</v>
      </c>
      <c r="Z75" s="335">
        <v>11.608322722932781</v>
      </c>
      <c r="AA75" s="335">
        <v>11.564228907793343</v>
      </c>
      <c r="AB75" s="335">
        <v>11.520616757811183</v>
      </c>
      <c r="AC75" s="335">
        <v>11.477518766630704</v>
      </c>
      <c r="AD75" s="335">
        <v>11.434968556051565</v>
      </c>
      <c r="AE75" s="335">
        <v>11.39300091055366</v>
      </c>
      <c r="AF75" s="335">
        <v>11.351651812844066</v>
      </c>
      <c r="AG75" s="335">
        <v>11.310958480455909</v>
      </c>
      <c r="AH75" s="335">
        <v>11.270959403430208</v>
      </c>
      <c r="AI75" s="335">
        <v>11.231694383112471</v>
      </c>
      <c r="AJ75" s="335">
        <v>11.19320457209691</v>
      </c>
      <c r="AK75" s="335">
        <v>11.15553251535202</v>
      </c>
      <c r="AL75" s="335">
        <v>11.11872219256229</v>
      </c>
    </row>
    <row r="76" spans="1:40">
      <c r="C76" s="417"/>
      <c r="E76" s="53" t="s">
        <v>67</v>
      </c>
      <c r="F76" s="334"/>
      <c r="G76" s="335"/>
      <c r="H76" s="335"/>
      <c r="I76" s="335">
        <v>0.77999999999999992</v>
      </c>
      <c r="J76" s="335">
        <v>0.66</v>
      </c>
      <c r="K76" s="335">
        <v>0.66</v>
      </c>
      <c r="L76" s="335">
        <v>0.66</v>
      </c>
      <c r="M76" s="335">
        <v>0.66</v>
      </c>
      <c r="N76" s="335">
        <v>0.66</v>
      </c>
      <c r="O76" s="335">
        <v>0.66</v>
      </c>
      <c r="P76" s="335">
        <v>0.66</v>
      </c>
      <c r="Q76" s="335">
        <v>0.66</v>
      </c>
      <c r="R76" s="335">
        <v>0.66</v>
      </c>
      <c r="S76" s="335">
        <v>0.66</v>
      </c>
      <c r="T76" s="335">
        <v>0.66</v>
      </c>
      <c r="U76" s="335">
        <v>0.66</v>
      </c>
      <c r="V76" s="335">
        <v>0.66</v>
      </c>
      <c r="W76" s="335">
        <v>0.66</v>
      </c>
      <c r="X76" s="335">
        <v>0.66</v>
      </c>
      <c r="Y76" s="335">
        <v>0.66</v>
      </c>
      <c r="Z76" s="335">
        <v>0.66</v>
      </c>
      <c r="AA76" s="335">
        <v>0.66</v>
      </c>
      <c r="AB76" s="335">
        <v>0.66</v>
      </c>
      <c r="AC76" s="335">
        <v>0.66</v>
      </c>
      <c r="AD76" s="335">
        <v>0.66</v>
      </c>
      <c r="AE76" s="335">
        <v>0.66</v>
      </c>
      <c r="AF76" s="335">
        <v>0.66</v>
      </c>
      <c r="AG76" s="335">
        <v>0.66</v>
      </c>
      <c r="AH76" s="335">
        <v>0.66</v>
      </c>
      <c r="AI76" s="335">
        <v>0.66</v>
      </c>
      <c r="AJ76" s="335">
        <v>0.66</v>
      </c>
      <c r="AK76" s="335">
        <v>0.66</v>
      </c>
      <c r="AL76" s="335">
        <v>0.66</v>
      </c>
    </row>
    <row r="77" spans="1:40">
      <c r="C77" s="417"/>
      <c r="E77" s="53" t="s">
        <v>68</v>
      </c>
      <c r="F77" s="334"/>
      <c r="G77" s="335"/>
      <c r="H77" s="335"/>
      <c r="I77" s="335">
        <v>0</v>
      </c>
      <c r="J77" s="335">
        <v>277.64789953973519</v>
      </c>
      <c r="K77" s="335">
        <v>262.73814187526051</v>
      </c>
      <c r="L77" s="335">
        <v>251.20777386950041</v>
      </c>
      <c r="M77" s="335">
        <v>242.07712269015971</v>
      </c>
      <c r="N77" s="335">
        <v>236.98231246797869</v>
      </c>
      <c r="O77" s="335">
        <v>233.01891364684712</v>
      </c>
      <c r="P77" s="335">
        <v>229.31965137233604</v>
      </c>
      <c r="Q77" s="335">
        <v>225.86766719922298</v>
      </c>
      <c r="R77" s="335">
        <v>222.65449576882244</v>
      </c>
      <c r="S77" s="335">
        <v>219.65936526648071</v>
      </c>
      <c r="T77" s="335">
        <v>216.86910898221475</v>
      </c>
      <c r="U77" s="335">
        <v>214.27158749395736</v>
      </c>
      <c r="V77" s="335">
        <v>211.85560695571436</v>
      </c>
      <c r="W77" s="335">
        <v>209.61084472012934</v>
      </c>
      <c r="X77" s="335">
        <v>207.52778161425695</v>
      </c>
      <c r="Y77" s="335">
        <v>205.59764025570851</v>
      </c>
      <c r="Z77" s="335">
        <v>203.81232885760849</v>
      </c>
      <c r="AA77" s="335">
        <v>202.16439002576155</v>
      </c>
      <c r="AB77" s="335">
        <v>200.64695410076911</v>
      </c>
      <c r="AC77" s="335">
        <v>199.25369664216552</v>
      </c>
      <c r="AD77" s="335">
        <v>197.97879969151001</v>
      </c>
      <c r="AE77" s="335">
        <v>196.81691648725266</v>
      </c>
      <c r="AF77" s="335">
        <v>195.7631393365306</v>
      </c>
      <c r="AG77" s="335">
        <v>194.81297037821324</v>
      </c>
      <c r="AH77" s="335">
        <v>193.96229499785781</v>
      </c>
      <c r="AI77" s="335">
        <v>193.20735767905762</v>
      </c>
      <c r="AJ77" s="335">
        <v>192.54474009723455</v>
      </c>
      <c r="AK77" s="335">
        <v>191.97134128149656</v>
      </c>
      <c r="AL77" s="335">
        <v>191.64306091023477</v>
      </c>
    </row>
    <row r="78" spans="1:40">
      <c r="C78" s="417"/>
      <c r="E78" s="53" t="s">
        <v>69</v>
      </c>
      <c r="F78" s="334"/>
      <c r="G78" s="335"/>
      <c r="H78" s="335"/>
      <c r="I78" s="335">
        <v>0</v>
      </c>
      <c r="J78" s="335">
        <v>0</v>
      </c>
      <c r="K78" s="335">
        <v>50.618809469132707</v>
      </c>
      <c r="L78" s="335">
        <v>46.507776457931044</v>
      </c>
      <c r="M78" s="335">
        <v>44.933695491461954</v>
      </c>
      <c r="N78" s="335">
        <v>44.298515256266597</v>
      </c>
      <c r="O78" s="335">
        <v>43.702031115564694</v>
      </c>
      <c r="P78" s="335">
        <v>43.141569428650897</v>
      </c>
      <c r="Q78" s="335">
        <v>42.614995010380738</v>
      </c>
      <c r="R78" s="335">
        <v>42.263671763935157</v>
      </c>
      <c r="S78" s="335">
        <v>41.941882858275832</v>
      </c>
      <c r="T78" s="335">
        <v>41.648061716244683</v>
      </c>
      <c r="U78" s="335">
        <v>41.380766796040227</v>
      </c>
      <c r="V78" s="335">
        <v>41.138672119444621</v>
      </c>
      <c r="W78" s="335">
        <v>40.92055864455822</v>
      </c>
      <c r="X78" s="335">
        <v>40.725306406992331</v>
      </c>
      <c r="Y78" s="335">
        <v>40.551887361020526</v>
      </c>
      <c r="Z78" s="335">
        <v>40.399358858975226</v>
      </c>
      <c r="AA78" s="335">
        <v>40.266857713280864</v>
      </c>
      <c r="AB78" s="335">
        <v>40.153594791012459</v>
      </c>
      <c r="AC78" s="335">
        <v>40.058850095823999</v>
      </c>
      <c r="AD78" s="335">
        <v>39.981968296563501</v>
      </c>
      <c r="AE78" s="335">
        <v>39.922354665932765</v>
      </c>
      <c r="AF78" s="335">
        <v>39.879471396206284</v>
      </c>
      <c r="AG78" s="335">
        <v>39.852834262337453</v>
      </c>
      <c r="AH78" s="335">
        <v>39.842009605787958</v>
      </c>
      <c r="AI78" s="335">
        <v>39.846611615151105</v>
      </c>
      <c r="AJ78" s="335">
        <v>39.866299882133426</v>
      </c>
      <c r="AK78" s="335">
        <v>39.900777213735296</v>
      </c>
      <c r="AL78" s="335">
        <v>39.949787683557652</v>
      </c>
    </row>
    <row r="79" spans="1:40" s="60" customFormat="1">
      <c r="A79" s="59"/>
      <c r="C79" s="418"/>
      <c r="E79" s="52" t="s">
        <v>216</v>
      </c>
      <c r="F79" s="336"/>
      <c r="G79" s="337"/>
      <c r="H79" s="337"/>
      <c r="I79" s="337">
        <v>5.748730044879153</v>
      </c>
      <c r="J79" s="337">
        <v>5.0732082237278542</v>
      </c>
      <c r="K79" s="337">
        <v>6.0425687768598477</v>
      </c>
      <c r="L79" s="337">
        <v>6.6709140700151766</v>
      </c>
      <c r="M79" s="337">
        <v>7.1450149039223145</v>
      </c>
      <c r="N79" s="337">
        <v>7.2295798493065027</v>
      </c>
      <c r="O79" s="337">
        <v>7.2634023047579097</v>
      </c>
      <c r="P79" s="337">
        <v>7.2991249253307258</v>
      </c>
      <c r="Q79" s="337">
        <v>7.3383391406156919</v>
      </c>
      <c r="R79" s="337">
        <v>7.3014086452263092</v>
      </c>
      <c r="S79" s="337">
        <v>7.261947610576196</v>
      </c>
      <c r="T79" s="337">
        <v>7.22446666805474</v>
      </c>
      <c r="U79" s="337">
        <v>7.1888741692301146</v>
      </c>
      <c r="V79" s="337">
        <v>7.1550867614065909</v>
      </c>
      <c r="W79" s="337">
        <v>7.1230287945241484</v>
      </c>
      <c r="X79" s="337">
        <v>7.0926317820679952</v>
      </c>
      <c r="Y79" s="337">
        <v>7.063833911173786</v>
      </c>
      <c r="Z79" s="337">
        <v>7.0365795975932688</v>
      </c>
      <c r="AA79" s="337">
        <v>7.0108190816156633</v>
      </c>
      <c r="AB79" s="337">
        <v>6.9865080614277488</v>
      </c>
      <c r="AC79" s="337">
        <v>6.9636073607446276</v>
      </c>
      <c r="AD79" s="337">
        <v>6.9420826278582117</v>
      </c>
      <c r="AE79" s="337">
        <v>6.9219040635346314</v>
      </c>
      <c r="AF79" s="337">
        <v>6.9030461754490142</v>
      </c>
      <c r="AG79" s="337">
        <v>6.8854875570787124</v>
      </c>
      <c r="AH79" s="337">
        <v>6.8692106891872964</v>
      </c>
      <c r="AI79" s="337">
        <v>6.8542017622232789</v>
      </c>
      <c r="AJ79" s="337">
        <v>6.8404505181322666</v>
      </c>
      <c r="AK79" s="337">
        <v>6.8279501102404287</v>
      </c>
      <c r="AL79" s="337">
        <v>6.8169649984026304</v>
      </c>
      <c r="AN79" s="31"/>
    </row>
    <row r="80" spans="1:40" ht="3.75" customHeight="1">
      <c r="E80" s="53"/>
      <c r="F80" s="62"/>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row>
    <row r="81" spans="1:40">
      <c r="C81" s="51"/>
      <c r="E81" s="52" t="s">
        <v>94</v>
      </c>
      <c r="F81" s="311"/>
      <c r="G81" s="312"/>
      <c r="H81" s="312"/>
      <c r="I81" s="312"/>
      <c r="J81" s="312"/>
      <c r="K81" s="312"/>
      <c r="L81" s="312"/>
      <c r="M81" s="312"/>
      <c r="N81" s="312"/>
      <c r="O81" s="312"/>
      <c r="P81" s="312"/>
      <c r="Q81" s="312"/>
      <c r="R81" s="312"/>
      <c r="S81" s="312"/>
      <c r="T81" s="312"/>
      <c r="U81" s="312"/>
      <c r="V81" s="312"/>
      <c r="W81" s="312"/>
      <c r="X81" s="312"/>
      <c r="Y81" s="312"/>
      <c r="Z81" s="312"/>
      <c r="AA81" s="312"/>
      <c r="AB81" s="312"/>
      <c r="AC81" s="312"/>
      <c r="AD81" s="312"/>
      <c r="AE81" s="312"/>
      <c r="AF81" s="312"/>
      <c r="AG81" s="312"/>
      <c r="AH81" s="312"/>
      <c r="AI81" s="312"/>
      <c r="AJ81" s="312"/>
      <c r="AK81" s="312"/>
      <c r="AL81" s="312"/>
    </row>
    <row r="82" spans="1:40">
      <c r="C82" s="51"/>
      <c r="E82" s="53" t="s">
        <v>397</v>
      </c>
      <c r="F82" s="311"/>
      <c r="G82" s="314"/>
      <c r="H82" s="312"/>
      <c r="I82" s="314">
        <v>9650.3902561060859</v>
      </c>
      <c r="J82" s="314">
        <v>23779.425147935144</v>
      </c>
      <c r="K82" s="314">
        <v>24222.586418889165</v>
      </c>
      <c r="L82" s="314">
        <v>24015.901545572582</v>
      </c>
      <c r="M82" s="314">
        <v>23841.744491493617</v>
      </c>
      <c r="N82" s="314">
        <v>23730.448666219712</v>
      </c>
      <c r="O82" s="314">
        <v>23619.03045978579</v>
      </c>
      <c r="P82" s="314">
        <v>23506.418161760779</v>
      </c>
      <c r="Q82" s="314">
        <v>23392.552896641242</v>
      </c>
      <c r="R82" s="314">
        <v>23297.107380851736</v>
      </c>
      <c r="S82" s="314">
        <v>23202.055344957214</v>
      </c>
      <c r="T82" s="314">
        <v>23107.441697996765</v>
      </c>
      <c r="U82" s="314">
        <v>23013.312990002483</v>
      </c>
      <c r="V82" s="314">
        <v>22919.717462867371</v>
      </c>
      <c r="W82" s="314">
        <v>22826.705102723397</v>
      </c>
      <c r="X82" s="314">
        <v>22734.327693874064</v>
      </c>
      <c r="Y82" s="314">
        <v>22642.638874327185</v>
      </c>
      <c r="Z82" s="314">
        <v>22551.694192974988</v>
      </c>
      <c r="AA82" s="314">
        <v>22461.55116847004</v>
      </c>
      <c r="AB82" s="314">
        <v>22372.269349846785</v>
      </c>
      <c r="AC82" s="314">
        <v>22283.910378940203</v>
      </c>
      <c r="AD82" s="314">
        <v>22196.538054654346</v>
      </c>
      <c r="AE82" s="314">
        <v>22110.218399135243</v>
      </c>
      <c r="AF82" s="314">
        <v>22025.019725904225</v>
      </c>
      <c r="AG82" s="314">
        <v>21941.01271000936</v>
      </c>
      <c r="AH82" s="314">
        <v>21858.270460254331</v>
      </c>
      <c r="AI82" s="314">
        <v>21776.868593566069</v>
      </c>
      <c r="AJ82" s="314">
        <v>21696.885311563867</v>
      </c>
      <c r="AK82" s="314">
        <v>21618.401479394961</v>
      </c>
      <c r="AL82" s="314">
        <v>21541.500706903291</v>
      </c>
    </row>
    <row r="83" spans="1:40">
      <c r="C83" s="51"/>
      <c r="E83" s="53" t="s">
        <v>396</v>
      </c>
      <c r="F83" s="311"/>
      <c r="G83" s="314"/>
      <c r="H83" s="312"/>
      <c r="I83" s="314">
        <v>28594.117628681317</v>
      </c>
      <c r="J83" s="314">
        <v>70316.060135752967</v>
      </c>
      <c r="K83" s="314">
        <v>71631.247344710748</v>
      </c>
      <c r="L83" s="314">
        <v>71025.109514682918</v>
      </c>
      <c r="M83" s="314">
        <v>70516.715185452034</v>
      </c>
      <c r="N83" s="314">
        <v>70197.066426215926</v>
      </c>
      <c r="O83" s="314">
        <v>69877.214268740485</v>
      </c>
      <c r="P83" s="314">
        <v>69553.945464802746</v>
      </c>
      <c r="Q83" s="314">
        <v>69227.085292618038</v>
      </c>
      <c r="R83" s="314">
        <v>68955.65382808994</v>
      </c>
      <c r="S83" s="314">
        <v>68685.574211699437</v>
      </c>
      <c r="T83" s="314">
        <v>68416.98314176104</v>
      </c>
      <c r="U83" s="314">
        <v>68150.022262236962</v>
      </c>
      <c r="V83" s="314">
        <v>67884.838315601679</v>
      </c>
      <c r="W83" s="314">
        <v>67621.583300239668</v>
      </c>
      <c r="X83" s="314">
        <v>67360.414632509899</v>
      </c>
      <c r="Y83" s="314">
        <v>67101.495313613879</v>
      </c>
      <c r="Z83" s="314">
        <v>66844.994101408985</v>
      </c>
      <c r="AA83" s="314">
        <v>66591.085687312123</v>
      </c>
      <c r="AB83" s="314">
        <v>66339.950878443662</v>
      </c>
      <c r="AC83" s="314">
        <v>66091.776785165712</v>
      </c>
      <c r="AD83" s="314">
        <v>65846.757014173534</v>
      </c>
      <c r="AE83" s="314">
        <v>65605.091867303054</v>
      </c>
      <c r="AF83" s="314">
        <v>65366.988546223256</v>
      </c>
      <c r="AG83" s="314">
        <v>65132.661363185929</v>
      </c>
      <c r="AH83" s="314">
        <v>64902.331958011593</v>
      </c>
      <c r="AI83" s="314">
        <v>64676.229521494584</v>
      </c>
      <c r="AJ83" s="314">
        <v>64454.591025416536</v>
      </c>
      <c r="AK83" s="314">
        <v>64237.661459362571</v>
      </c>
      <c r="AL83" s="314">
        <v>64025.694074540523</v>
      </c>
    </row>
    <row r="84" spans="1:40">
      <c r="C84" s="51"/>
      <c r="E84" s="53" t="s">
        <v>67</v>
      </c>
      <c r="F84" s="311"/>
      <c r="G84" s="314"/>
      <c r="H84" s="312"/>
      <c r="I84" s="314">
        <v>3465.6540603616436</v>
      </c>
      <c r="J84" s="314">
        <v>8461.1092939397258</v>
      </c>
      <c r="K84" s="314">
        <v>8614.5185280000005</v>
      </c>
      <c r="L84" s="314">
        <v>8614.5185280000005</v>
      </c>
      <c r="M84" s="314">
        <v>8614.5185280000005</v>
      </c>
      <c r="N84" s="314">
        <v>8614.5185280000005</v>
      </c>
      <c r="O84" s="314">
        <v>8614.5185280000005</v>
      </c>
      <c r="P84" s="314">
        <v>8614.5185280000005</v>
      </c>
      <c r="Q84" s="314">
        <v>8614.5185280000005</v>
      </c>
      <c r="R84" s="314">
        <v>8614.5185280000005</v>
      </c>
      <c r="S84" s="314">
        <v>8614.5185280000005</v>
      </c>
      <c r="T84" s="314">
        <v>8614.5185280000005</v>
      </c>
      <c r="U84" s="314">
        <v>8614.5185280000005</v>
      </c>
      <c r="V84" s="314">
        <v>8614.5185280000005</v>
      </c>
      <c r="W84" s="314">
        <v>8614.5185280000005</v>
      </c>
      <c r="X84" s="314">
        <v>8614.5185280000005</v>
      </c>
      <c r="Y84" s="314">
        <v>8614.5185280000005</v>
      </c>
      <c r="Z84" s="314">
        <v>8614.5185280000005</v>
      </c>
      <c r="AA84" s="314">
        <v>8614.5185280000005</v>
      </c>
      <c r="AB84" s="314">
        <v>8614.5185280000005</v>
      </c>
      <c r="AC84" s="314">
        <v>8614.5185280000005</v>
      </c>
      <c r="AD84" s="314">
        <v>8614.5185280000005</v>
      </c>
      <c r="AE84" s="314">
        <v>8614.5185280000005</v>
      </c>
      <c r="AF84" s="314">
        <v>8614.5185280000005</v>
      </c>
      <c r="AG84" s="314">
        <v>8614.5185280000005</v>
      </c>
      <c r="AH84" s="314">
        <v>8614.5185280000005</v>
      </c>
      <c r="AI84" s="314">
        <v>8614.5185280000005</v>
      </c>
      <c r="AJ84" s="314">
        <v>8614.5185280000005</v>
      </c>
      <c r="AK84" s="314">
        <v>8614.5185280000005</v>
      </c>
      <c r="AL84" s="314">
        <v>8614.5185280000005</v>
      </c>
    </row>
    <row r="85" spans="1:40">
      <c r="C85" s="51"/>
      <c r="E85" s="53" t="s">
        <v>68</v>
      </c>
      <c r="F85" s="311"/>
      <c r="G85" s="314"/>
      <c r="H85" s="312"/>
      <c r="I85" s="314">
        <v>0</v>
      </c>
      <c r="J85" s="314">
        <v>2662.377118874173</v>
      </c>
      <c r="K85" s="314">
        <v>3887.0848387024844</v>
      </c>
      <c r="L85" s="314">
        <v>5574.7478584738456</v>
      </c>
      <c r="M85" s="314">
        <v>8058.183673110796</v>
      </c>
      <c r="N85" s="314">
        <v>8765.0992282677053</v>
      </c>
      <c r="O85" s="314">
        <v>8650.8271691392001</v>
      </c>
      <c r="P85" s="314">
        <v>8513.4920571979746</v>
      </c>
      <c r="Q85" s="314">
        <v>8385.3371447711525</v>
      </c>
      <c r="R85" s="314">
        <v>8266.0481554175331</v>
      </c>
      <c r="S85" s="314">
        <v>8154.8539355180965</v>
      </c>
      <c r="T85" s="314">
        <v>8051.2656709647226</v>
      </c>
      <c r="U85" s="314">
        <v>7954.8326857131669</v>
      </c>
      <c r="V85" s="314">
        <v>7865.1394082308962</v>
      </c>
      <c r="W85" s="314">
        <v>7781.8026102348013</v>
      </c>
      <c r="X85" s="314">
        <v>7704.4688924292896</v>
      </c>
      <c r="Y85" s="314">
        <v>7632.8123944931785</v>
      </c>
      <c r="Z85" s="314">
        <v>7566.5327088387148</v>
      </c>
      <c r="AA85" s="314">
        <v>7505.3529797063975</v>
      </c>
      <c r="AB85" s="314">
        <v>7449.018170991053</v>
      </c>
      <c r="AC85" s="314">
        <v>7397.2934878403948</v>
      </c>
      <c r="AD85" s="314">
        <v>7349.962938547309</v>
      </c>
      <c r="AE85" s="314">
        <v>7306.8280245892547</v>
      </c>
      <c r="AF85" s="314">
        <v>7267.7065478686982</v>
      </c>
      <c r="AG85" s="314">
        <v>7232.4315252911665</v>
      </c>
      <c r="AH85" s="314">
        <v>7200.8502017954715</v>
      </c>
      <c r="AI85" s="314">
        <v>7172.8231538350146</v>
      </c>
      <c r="AJ85" s="314">
        <v>7148.2234761098325</v>
      </c>
      <c r="AK85" s="314">
        <v>7126.9360450755603</v>
      </c>
      <c r="AL85" s="314">
        <v>7114.7486362924656</v>
      </c>
    </row>
    <row r="86" spans="1:40">
      <c r="C86" s="51"/>
      <c r="E86" s="53" t="s">
        <v>69</v>
      </c>
      <c r="F86" s="311"/>
      <c r="G86" s="314"/>
      <c r="H86" s="312"/>
      <c r="I86" s="314">
        <v>0</v>
      </c>
      <c r="J86" s="314">
        <v>0</v>
      </c>
      <c r="K86" s="314">
        <v>19415.43376898241</v>
      </c>
      <c r="L86" s="314">
        <v>34211.884873847906</v>
      </c>
      <c r="M86" s="314">
        <v>44472.047935042821</v>
      </c>
      <c r="N86" s="314">
        <v>46422.416672662948</v>
      </c>
      <c r="O86" s="314">
        <v>48087.200676133347</v>
      </c>
      <c r="P86" s="314">
        <v>49844.025925674003</v>
      </c>
      <c r="Q86" s="314">
        <v>51697.425278290939</v>
      </c>
      <c r="R86" s="314">
        <v>51371.757177011714</v>
      </c>
      <c r="S86" s="314">
        <v>50980.620751002141</v>
      </c>
      <c r="T86" s="314">
        <v>50623.479316481142</v>
      </c>
      <c r="U86" s="314">
        <v>50298.580670379379</v>
      </c>
      <c r="V86" s="314">
        <v>50004.313077885687</v>
      </c>
      <c r="W86" s="314">
        <v>49739.194785952051</v>
      </c>
      <c r="X86" s="314">
        <v>49501.864470864231</v>
      </c>
      <c r="Y86" s="314">
        <v>49291.072536616462</v>
      </c>
      <c r="Z86" s="314">
        <v>49105.673189077264</v>
      </c>
      <c r="AA86" s="314">
        <v>48944.617218353604</v>
      </c>
      <c r="AB86" s="314">
        <v>48806.94542844309</v>
      </c>
      <c r="AC86" s="314">
        <v>48691.782659287172</v>
      </c>
      <c r="AD86" s="314">
        <v>48598.332351774792</v>
      </c>
      <c r="AE86" s="314">
        <v>48525.871611157942</v>
      </c>
      <c r="AF86" s="314">
        <v>48473.746728784972</v>
      </c>
      <c r="AG86" s="314">
        <v>48441.369126085316</v>
      </c>
      <c r="AH86" s="314">
        <v>48428.211688395306</v>
      </c>
      <c r="AI86" s="314">
        <v>48433.805459538766</v>
      </c>
      <c r="AJ86" s="314">
        <v>48457.73667110745</v>
      </c>
      <c r="AK86" s="314">
        <v>48499.644083152845</v>
      </c>
      <c r="AL86" s="314">
        <v>48559.216615537356</v>
      </c>
    </row>
    <row r="87" spans="1:40">
      <c r="C87" s="51"/>
      <c r="E87" s="52" t="s">
        <v>94</v>
      </c>
      <c r="F87" s="311">
        <v>0</v>
      </c>
      <c r="G87" s="312">
        <v>0</v>
      </c>
      <c r="H87" s="312">
        <v>0</v>
      </c>
      <c r="I87" s="312">
        <v>41710.161945149048</v>
      </c>
      <c r="J87" s="312">
        <v>105218.97169650201</v>
      </c>
      <c r="K87" s="312">
        <v>127770.87089928481</v>
      </c>
      <c r="L87" s="312">
        <v>143442.16232057725</v>
      </c>
      <c r="M87" s="312">
        <v>155503.20981309927</v>
      </c>
      <c r="N87" s="312">
        <v>157729.54952136631</v>
      </c>
      <c r="O87" s="312">
        <v>158848.79110179882</v>
      </c>
      <c r="P87" s="312">
        <v>160032.4001374355</v>
      </c>
      <c r="Q87" s="312">
        <v>161316.91914032138</v>
      </c>
      <c r="R87" s="312">
        <v>160505.08506937092</v>
      </c>
      <c r="S87" s="312">
        <v>159637.62277117689</v>
      </c>
      <c r="T87" s="312">
        <v>158813.68835520366</v>
      </c>
      <c r="U87" s="312">
        <v>158031.267136332</v>
      </c>
      <c r="V87" s="312">
        <v>157288.52679258562</v>
      </c>
      <c r="W87" s="312">
        <v>156583.8043271499</v>
      </c>
      <c r="X87" s="312">
        <v>155915.59421767748</v>
      </c>
      <c r="Y87" s="312">
        <v>155282.53764705069</v>
      </c>
      <c r="Z87" s="312">
        <v>154683.41272029997</v>
      </c>
      <c r="AA87" s="312">
        <v>154117.12558184215</v>
      </c>
      <c r="AB87" s="312">
        <v>153582.70235572458</v>
      </c>
      <c r="AC87" s="312">
        <v>153079.28183923347</v>
      </c>
      <c r="AD87" s="312">
        <v>152606.10888714998</v>
      </c>
      <c r="AE87" s="312">
        <v>152162.52843018548</v>
      </c>
      <c r="AF87" s="312">
        <v>151747.98007678115</v>
      </c>
      <c r="AG87" s="312">
        <v>151361.99325257176</v>
      </c>
      <c r="AH87" s="312">
        <v>151004.18283645669</v>
      </c>
      <c r="AI87" s="312">
        <v>150674.24525643443</v>
      </c>
      <c r="AJ87" s="312">
        <v>150371.95501219769</v>
      </c>
      <c r="AK87" s="312">
        <v>150097.16159498593</v>
      </c>
      <c r="AL87" s="312">
        <v>149855.67856127364</v>
      </c>
    </row>
    <row r="88" spans="1:40" ht="3.75" customHeight="1">
      <c r="E88" s="52"/>
      <c r="F88" s="64"/>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row>
    <row r="89" spans="1:40">
      <c r="C89" s="412"/>
      <c r="E89" s="60" t="s">
        <v>217</v>
      </c>
      <c r="F89" s="331"/>
      <c r="G89" s="333"/>
      <c r="H89" s="333"/>
      <c r="I89" s="333"/>
      <c r="J89" s="333"/>
      <c r="K89" s="333"/>
      <c r="L89" s="333"/>
      <c r="M89" s="333"/>
      <c r="N89" s="333"/>
      <c r="O89" s="333"/>
      <c r="P89" s="333"/>
      <c r="Q89" s="333"/>
      <c r="R89" s="333"/>
      <c r="S89" s="333"/>
      <c r="T89" s="333"/>
      <c r="U89" s="333"/>
      <c r="V89" s="333"/>
      <c r="W89" s="333"/>
      <c r="X89" s="333"/>
      <c r="Y89" s="333"/>
      <c r="Z89" s="333"/>
      <c r="AA89" s="333"/>
      <c r="AB89" s="333"/>
      <c r="AC89" s="333"/>
      <c r="AD89" s="333"/>
      <c r="AE89" s="333"/>
      <c r="AF89" s="333"/>
      <c r="AG89" s="333"/>
      <c r="AH89" s="333"/>
      <c r="AI89" s="333"/>
      <c r="AJ89" s="333"/>
      <c r="AK89" s="333"/>
      <c r="AL89" s="333"/>
    </row>
    <row r="90" spans="1:40">
      <c r="C90" s="412"/>
      <c r="E90" s="53" t="s">
        <v>397</v>
      </c>
      <c r="F90" s="331"/>
      <c r="G90" s="338"/>
      <c r="H90" s="333"/>
      <c r="I90" s="338">
        <v>5.0751499166640803</v>
      </c>
      <c r="J90" s="338">
        <v>5.0102615950709612</v>
      </c>
      <c r="K90" s="338">
        <v>4.9446270577795204</v>
      </c>
      <c r="L90" s="338">
        <v>4.8782377233092289</v>
      </c>
      <c r="M90" s="338">
        <v>4.8110849114925296</v>
      </c>
      <c r="N90" s="338">
        <v>4.7431598423399368</v>
      </c>
      <c r="O90" s="338">
        <v>4.6744536348920898</v>
      </c>
      <c r="P90" s="338">
        <v>4.6049573060585924</v>
      </c>
      <c r="Q90" s="338">
        <v>4.5346617694435096</v>
      </c>
      <c r="R90" s="338">
        <v>4.4635578341573536</v>
      </c>
      <c r="S90" s="338">
        <v>4.3916362036154073</v>
      </c>
      <c r="T90" s="338">
        <v>4.3188874743222279</v>
      </c>
      <c r="U90" s="338">
        <v>4.2453021346421771</v>
      </c>
      <c r="V90" s="338">
        <v>4.1708705635558054</v>
      </c>
      <c r="W90" s="338">
        <v>4.0955830294019409</v>
      </c>
      <c r="X90" s="338">
        <v>4.0194296886053076</v>
      </c>
      <c r="Y90" s="338">
        <v>3.942400584389512</v>
      </c>
      <c r="Z90" s="338">
        <v>3.8644856454752357</v>
      </c>
      <c r="AA90" s="338">
        <v>3.7856746847634448</v>
      </c>
      <c r="AB90" s="338">
        <v>3.7059573980034677</v>
      </c>
      <c r="AC90" s="338">
        <v>3.6253233624457506</v>
      </c>
      <c r="AD90" s="338">
        <v>3.5437620354791211</v>
      </c>
      <c r="AE90" s="338">
        <v>3.4612627532523743</v>
      </c>
      <c r="AF90" s="338">
        <v>3.3778147292800202</v>
      </c>
      <c r="AG90" s="338">
        <v>3.2934070530319848</v>
      </c>
      <c r="AH90" s="338">
        <v>3.2080286885070959</v>
      </c>
      <c r="AI90" s="338">
        <v>3.1216684727901716</v>
      </c>
      <c r="AJ90" s="338">
        <v>3.0343151145925029</v>
      </c>
      <c r="AK90" s="338">
        <v>2.9459571927755603</v>
      </c>
      <c r="AL90" s="338">
        <v>2.8565831548577227</v>
      </c>
    </row>
    <row r="91" spans="1:40">
      <c r="C91" s="412"/>
      <c r="E91" s="53" t="s">
        <v>396</v>
      </c>
      <c r="F91" s="331"/>
      <c r="G91" s="338"/>
      <c r="H91" s="333"/>
      <c r="I91" s="338">
        <v>4.9513657723552011</v>
      </c>
      <c r="J91" s="338">
        <v>4.8880600927521574</v>
      </c>
      <c r="K91" s="338">
        <v>4.8240263978336788</v>
      </c>
      <c r="L91" s="338">
        <v>4.759256315423638</v>
      </c>
      <c r="M91" s="338">
        <v>4.6937413770658827</v>
      </c>
      <c r="N91" s="338">
        <v>4.627473016917012</v>
      </c>
      <c r="O91" s="338">
        <v>4.5604425706264298</v>
      </c>
      <c r="P91" s="338">
        <v>4.4926412742035051</v>
      </c>
      <c r="Q91" s="338">
        <v>4.4240602628717172</v>
      </c>
      <c r="R91" s="338">
        <v>4.3546905699096135</v>
      </c>
      <c r="S91" s="338">
        <v>4.2845231254784464</v>
      </c>
      <c r="T91" s="338">
        <v>4.21354875543632</v>
      </c>
      <c r="U91" s="338">
        <v>4.1417581801387096</v>
      </c>
      <c r="V91" s="338">
        <v>4.0691420132251768</v>
      </c>
      <c r="W91" s="338">
        <v>3.9956907603921374</v>
      </c>
      <c r="X91" s="338">
        <v>3.9213948181515201</v>
      </c>
      <c r="Y91" s="338">
        <v>3.8462444725751341</v>
      </c>
      <c r="Z91" s="338">
        <v>3.7702298980246205</v>
      </c>
      <c r="AA91" s="338">
        <v>3.6933411558667757</v>
      </c>
      <c r="AB91" s="338">
        <v>3.615568193174115</v>
      </c>
      <c r="AC91" s="338">
        <v>3.5369008414104885</v>
      </c>
      <c r="AD91" s="338">
        <v>3.4573288151015817</v>
      </c>
      <c r="AE91" s="338">
        <v>3.3768417104901216</v>
      </c>
      <c r="AF91" s="338">
        <v>3.29542900417563</v>
      </c>
      <c r="AG91" s="338">
        <v>3.2130800517385221</v>
      </c>
      <c r="AH91" s="338">
        <v>3.1297840863483866</v>
      </c>
      <c r="AI91" s="338">
        <v>3.0455302173562653</v>
      </c>
      <c r="AJ91" s="338">
        <v>2.9603074288707347</v>
      </c>
      <c r="AK91" s="338">
        <v>2.87410457831762</v>
      </c>
      <c r="AL91" s="338">
        <v>2.7869103949831442</v>
      </c>
    </row>
    <row r="92" spans="1:40">
      <c r="C92" s="412"/>
      <c r="E92" s="53" t="s">
        <v>67</v>
      </c>
      <c r="F92" s="331"/>
      <c r="G92" s="338"/>
      <c r="H92" s="333"/>
      <c r="I92" s="338">
        <v>0.312</v>
      </c>
      <c r="J92" s="338">
        <v>0.26400000000000001</v>
      </c>
      <c r="K92" s="338">
        <v>0.26400000000000001</v>
      </c>
      <c r="L92" s="338">
        <v>0.26400000000000001</v>
      </c>
      <c r="M92" s="338">
        <v>0.26400000000000001</v>
      </c>
      <c r="N92" s="338">
        <v>0.26400000000000001</v>
      </c>
      <c r="O92" s="338">
        <v>0.26400000000000001</v>
      </c>
      <c r="P92" s="338">
        <v>0.26400000000000001</v>
      </c>
      <c r="Q92" s="338">
        <v>0.26400000000000001</v>
      </c>
      <c r="R92" s="338">
        <v>0.26400000000000001</v>
      </c>
      <c r="S92" s="338">
        <v>0.26400000000000001</v>
      </c>
      <c r="T92" s="338">
        <v>0.26400000000000001</v>
      </c>
      <c r="U92" s="338">
        <v>0.26400000000000001</v>
      </c>
      <c r="V92" s="338">
        <v>0.26400000000000001</v>
      </c>
      <c r="W92" s="338">
        <v>0.26400000000000001</v>
      </c>
      <c r="X92" s="338">
        <v>0.26400000000000001</v>
      </c>
      <c r="Y92" s="338">
        <v>0.26400000000000001</v>
      </c>
      <c r="Z92" s="338">
        <v>0.26400000000000001</v>
      </c>
      <c r="AA92" s="338">
        <v>0.26400000000000001</v>
      </c>
      <c r="AB92" s="338">
        <v>0.26400000000000001</v>
      </c>
      <c r="AC92" s="338">
        <v>0.26400000000000001</v>
      </c>
      <c r="AD92" s="338">
        <v>0.26400000000000001</v>
      </c>
      <c r="AE92" s="338">
        <v>0.26400000000000001</v>
      </c>
      <c r="AF92" s="338">
        <v>0.26400000000000001</v>
      </c>
      <c r="AG92" s="338">
        <v>0.26400000000000001</v>
      </c>
      <c r="AH92" s="338">
        <v>0.26400000000000001</v>
      </c>
      <c r="AI92" s="338">
        <v>0.26400000000000001</v>
      </c>
      <c r="AJ92" s="338">
        <v>0.26400000000000001</v>
      </c>
      <c r="AK92" s="338">
        <v>0.26400000000000001</v>
      </c>
      <c r="AL92" s="338">
        <v>0.26400000000000001</v>
      </c>
    </row>
    <row r="93" spans="1:40">
      <c r="C93" s="412"/>
      <c r="E93" s="53" t="s">
        <v>68</v>
      </c>
      <c r="F93" s="331"/>
      <c r="G93" s="338"/>
      <c r="H93" s="333"/>
      <c r="I93" s="338">
        <v>0</v>
      </c>
      <c r="J93" s="338">
        <v>72.039220805110332</v>
      </c>
      <c r="K93" s="338">
        <v>69.229691193711034</v>
      </c>
      <c r="L93" s="338">
        <v>66.598962928350005</v>
      </c>
      <c r="M93" s="338">
        <v>64.134801300001058</v>
      </c>
      <c r="N93" s="338">
        <v>61.825948453201015</v>
      </c>
      <c r="O93" s="338">
        <v>59.66204025733898</v>
      </c>
      <c r="P93" s="338">
        <v>57.633530888589455</v>
      </c>
      <c r="Q93" s="338">
        <v>55.731624369266001</v>
      </c>
      <c r="R93" s="338">
        <v>53.948212389449488</v>
      </c>
      <c r="S93" s="338">
        <v>52.275817805376555</v>
      </c>
      <c r="T93" s="338">
        <v>50.707543271215258</v>
      </c>
      <c r="U93" s="338">
        <v>49.237024516350012</v>
      </c>
      <c r="V93" s="338">
        <v>47.858387829892209</v>
      </c>
      <c r="W93" s="338">
        <v>46.56621135848512</v>
      </c>
      <c r="X93" s="338">
        <v>45.355489863164507</v>
      </c>
      <c r="Y93" s="338">
        <v>44.221602616585393</v>
      </c>
      <c r="Z93" s="338">
        <v>43.160284153787345</v>
      </c>
      <c r="AA93" s="338">
        <v>42.167597618250234</v>
      </c>
      <c r="AB93" s="338">
        <v>41.239910470648731</v>
      </c>
      <c r="AC93" s="338">
        <v>40.373872350765104</v>
      </c>
      <c r="AD93" s="338">
        <v>39.566394903749803</v>
      </c>
      <c r="AE93" s="338">
        <v>38.814633400578558</v>
      </c>
      <c r="AF93" s="338">
        <v>38.11596999936814</v>
      </c>
      <c r="AG93" s="338">
        <v>37.46799850937888</v>
      </c>
      <c r="AH93" s="338">
        <v>36.868510533228815</v>
      </c>
      <c r="AI93" s="338">
        <v>36.31548287523038</v>
      </c>
      <c r="AJ93" s="338">
        <v>35.807066114977154</v>
      </c>
      <c r="AK93" s="338">
        <v>35.341574255482449</v>
      </c>
      <c r="AL93" s="338">
        <v>35</v>
      </c>
    </row>
    <row r="94" spans="1:40">
      <c r="C94" s="412"/>
      <c r="E94" s="53" t="s">
        <v>69</v>
      </c>
      <c r="F94" s="331"/>
      <c r="G94" s="338"/>
      <c r="H94" s="333"/>
      <c r="I94" s="338">
        <v>0</v>
      </c>
      <c r="J94" s="338">
        <v>0</v>
      </c>
      <c r="K94" s="338">
        <v>9.734137656377662</v>
      </c>
      <c r="L94" s="338">
        <v>9.3973364934669945</v>
      </c>
      <c r="M94" s="338">
        <v>9.0815859872865037</v>
      </c>
      <c r="N94" s="338">
        <v>8.785526284100964</v>
      </c>
      <c r="O94" s="338">
        <v>8.5079036535233747</v>
      </c>
      <c r="P94" s="338">
        <v>8.2475618017255599</v>
      </c>
      <c r="Q94" s="338">
        <v>8.0034339723944843</v>
      </c>
      <c r="R94" s="338">
        <v>7.7745357607840022</v>
      </c>
      <c r="S94" s="338">
        <v>7.5599585737863642</v>
      </c>
      <c r="T94" s="338">
        <v>7.3588636757236472</v>
      </c>
      <c r="U94" s="338">
        <v>7.1704767656251223</v>
      </c>
      <c r="V94" s="338">
        <v>6.9940830371907445</v>
      </c>
      <c r="W94" s="338">
        <v>6.8290226775130431</v>
      </c>
      <c r="X94" s="338">
        <v>6.6746867650012485</v>
      </c>
      <c r="Y94" s="338">
        <v>6.5305135308772222</v>
      </c>
      <c r="Z94" s="338">
        <v>6.395984952141152</v>
      </c>
      <c r="AA94" s="338">
        <v>6.2706236470791854</v>
      </c>
      <c r="AB94" s="338">
        <v>6.1539900472435125</v>
      </c>
      <c r="AC94" s="338">
        <v>6.0456798224120272</v>
      </c>
      <c r="AD94" s="338">
        <v>5.9453215373599875</v>
      </c>
      <c r="AE94" s="338">
        <v>5.8525745213771723</v>
      </c>
      <c r="AF94" s="338">
        <v>5.7671269333650654</v>
      </c>
      <c r="AG94" s="338">
        <v>5.6886940070713008</v>
      </c>
      <c r="AH94" s="338">
        <v>5.6170164625822023</v>
      </c>
      <c r="AI94" s="338">
        <v>5.5518590716162493</v>
      </c>
      <c r="AJ94" s="338">
        <v>5.4930093654571177</v>
      </c>
      <c r="AK94" s="338">
        <v>5.4402764755487301</v>
      </c>
      <c r="AL94" s="338">
        <v>5.3934900978590115</v>
      </c>
    </row>
    <row r="95" spans="1:40" s="60" customFormat="1">
      <c r="A95" s="59"/>
      <c r="C95" s="420"/>
      <c r="E95" s="52" t="s">
        <v>218</v>
      </c>
      <c r="F95" s="339"/>
      <c r="G95" s="66"/>
      <c r="H95" s="340"/>
      <c r="I95" s="266">
        <v>1.9605288005594597</v>
      </c>
      <c r="J95" s="266">
        <v>1.9686808181404423</v>
      </c>
      <c r="K95" s="266">
        <v>2.1505279862502218</v>
      </c>
      <c r="L95" s="266">
        <v>2.2604544603688197</v>
      </c>
      <c r="M95" s="266">
        <v>2.3356109160750145</v>
      </c>
      <c r="N95" s="266">
        <v>2.3234023694417183</v>
      </c>
      <c r="O95" s="266">
        <v>2.2979450355217415</v>
      </c>
      <c r="P95" s="266">
        <v>2.2724711996522897</v>
      </c>
      <c r="Q95" s="266">
        <v>2.2473743072610066</v>
      </c>
      <c r="R95" s="266">
        <v>2.2081919659036298</v>
      </c>
      <c r="S95" s="266">
        <v>2.1688425808312104</v>
      </c>
      <c r="T95" s="266">
        <v>2.1301309278524663</v>
      </c>
      <c r="U95" s="266">
        <v>2.0920001836106139</v>
      </c>
      <c r="V95" s="266">
        <v>2.0543976053885697</v>
      </c>
      <c r="W95" s="266">
        <v>2.017274216424473</v>
      </c>
      <c r="X95" s="266">
        <v>1.9805845191373268</v>
      </c>
      <c r="Y95" s="266">
        <v>1.9442862337543454</v>
      </c>
      <c r="Z95" s="266">
        <v>1.9083400600805209</v>
      </c>
      <c r="AA95" s="266">
        <v>1.8727094603746759</v>
      </c>
      <c r="AB95" s="266">
        <v>1.8373604614976797</v>
      </c>
      <c r="AC95" s="266">
        <v>1.8022614746798671</v>
      </c>
      <c r="AD95" s="266">
        <v>1.7673831314183128</v>
      </c>
      <c r="AE95" s="266">
        <v>1.7326981341622796</v>
      </c>
      <c r="AF95" s="266">
        <v>1.6981811205786836</v>
      </c>
      <c r="AG95" s="266">
        <v>1.6638085403102771</v>
      </c>
      <c r="AH95" s="266">
        <v>1.6295585432488362</v>
      </c>
      <c r="AI95" s="266">
        <v>1.5954108784451972</v>
      </c>
      <c r="AJ95" s="266">
        <v>1.5613468028685591</v>
      </c>
      <c r="AK95" s="266">
        <v>1.5273489993101264</v>
      </c>
      <c r="AL95" s="266">
        <v>1.4935408723643471</v>
      </c>
      <c r="AN95" s="59"/>
    </row>
    <row r="96" spans="1:40" ht="3.75" customHeight="1">
      <c r="C96" s="412"/>
      <c r="E96" s="52"/>
      <c r="F96" s="64"/>
      <c r="G96" s="65"/>
      <c r="H96" s="65"/>
      <c r="I96" s="65"/>
      <c r="J96" s="65"/>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row>
    <row r="97" spans="3:38">
      <c r="C97" s="412"/>
      <c r="E97" s="53" t="s">
        <v>397</v>
      </c>
      <c r="F97" s="331"/>
      <c r="G97" s="314"/>
      <c r="H97" s="333"/>
      <c r="I97" s="314">
        <v>3269.4165819423151</v>
      </c>
      <c r="J97" s="314">
        <v>9360.0848374005036</v>
      </c>
      <c r="K97" s="314">
        <v>9490.9940738172463</v>
      </c>
      <c r="L97" s="314">
        <v>9363.5626674322393</v>
      </c>
      <c r="M97" s="314">
        <v>9234.6657998738046</v>
      </c>
      <c r="N97" s="314">
        <v>9104.2866183384449</v>
      </c>
      <c r="O97" s="314">
        <v>8972.4080762154299</v>
      </c>
      <c r="P97" s="314">
        <v>8839.0129308580017</v>
      </c>
      <c r="Q97" s="314">
        <v>8704.083741328961</v>
      </c>
      <c r="R97" s="314">
        <v>8567.6028661203363</v>
      </c>
      <c r="S97" s="314">
        <v>8429.5524608468149</v>
      </c>
      <c r="T97" s="314">
        <v>8289.9144759126466</v>
      </c>
      <c r="U97" s="314">
        <v>8148.6706541517342</v>
      </c>
      <c r="V97" s="314">
        <v>8005.8025284405712</v>
      </c>
      <c r="W97" s="314">
        <v>7861.2914192837316</v>
      </c>
      <c r="X97" s="314">
        <v>7715.1184323715888</v>
      </c>
      <c r="Y97" s="314">
        <v>7567.2644561099551</v>
      </c>
      <c r="Z97" s="314">
        <v>7417.7101591213132</v>
      </c>
      <c r="AA97" s="314">
        <v>7266.4359877173019</v>
      </c>
      <c r="AB97" s="314">
        <v>7113.4221633421439</v>
      </c>
      <c r="AC97" s="314">
        <v>6958.6486799866707</v>
      </c>
      <c r="AD97" s="314">
        <v>6802.0953015726118</v>
      </c>
      <c r="AE97" s="314">
        <v>6643.741559306789</v>
      </c>
      <c r="AF97" s="314">
        <v>6483.56674900491</v>
      </c>
      <c r="AG97" s="314">
        <v>6321.5499283845611</v>
      </c>
      <c r="AH97" s="314">
        <v>6157.6699143270762</v>
      </c>
      <c r="AI97" s="314">
        <v>5991.9052801079315</v>
      </c>
      <c r="AJ97" s="314">
        <v>5824.2343525952674</v>
      </c>
      <c r="AK97" s="314">
        <v>5654.6352094162057</v>
      </c>
      <c r="AL97" s="314">
        <v>5483.0856760905845</v>
      </c>
    </row>
    <row r="98" spans="3:38">
      <c r="C98" s="412"/>
      <c r="E98" s="53" t="s">
        <v>396</v>
      </c>
      <c r="F98" s="331"/>
      <c r="G98" s="314"/>
      <c r="H98" s="333"/>
      <c r="I98" s="314">
        <v>9569.0241422701929</v>
      </c>
      <c r="J98" s="314">
        <v>27395.370255806352</v>
      </c>
      <c r="K98" s="314">
        <v>27778.519240440724</v>
      </c>
      <c r="L98" s="314">
        <v>27405.549270533382</v>
      </c>
      <c r="M98" s="314">
        <v>27028.290145972111</v>
      </c>
      <c r="N98" s="314">
        <v>26646.692541478376</v>
      </c>
      <c r="O98" s="314">
        <v>26260.706564532971</v>
      </c>
      <c r="P98" s="314">
        <v>25870.281748852685</v>
      </c>
      <c r="Q98" s="314">
        <v>25475.367047792082</v>
      </c>
      <c r="R98" s="314">
        <v>25075.910827669279</v>
      </c>
      <c r="S98" s="314">
        <v>24671.86086101507</v>
      </c>
      <c r="T98" s="314">
        <v>24263.16431974433</v>
      </c>
      <c r="U98" s="314">
        <v>23849.767768248978</v>
      </c>
      <c r="V98" s="314">
        <v>23431.617156411434</v>
      </c>
      <c r="W98" s="314">
        <v>23008.657812537749</v>
      </c>
      <c r="X98" s="314">
        <v>22580.83443620953</v>
      </c>
      <c r="Y98" s="314">
        <v>22148.091091053528</v>
      </c>
      <c r="Z98" s="314">
        <v>21710.371197428234</v>
      </c>
      <c r="AA98" s="314">
        <v>21267.617525026253</v>
      </c>
      <c r="AB98" s="314">
        <v>20819.772185391641</v>
      </c>
      <c r="AC98" s="314">
        <v>20366.776624351231</v>
      </c>
      <c r="AD98" s="314">
        <v>19908.571614358862</v>
      </c>
      <c r="AE98" s="314">
        <v>19445.097246751578</v>
      </c>
      <c r="AF98" s="314">
        <v>18976.292923916812</v>
      </c>
      <c r="AG98" s="314">
        <v>18502.097351369448</v>
      </c>
      <c r="AH98" s="314">
        <v>18022.448529737783</v>
      </c>
      <c r="AI98" s="314">
        <v>17537.283746657362</v>
      </c>
      <c r="AJ98" s="314">
        <v>17046.539568571512</v>
      </c>
      <c r="AK98" s="314">
        <v>16550.151832437674</v>
      </c>
      <c r="AL98" s="314">
        <v>16048.055637338297</v>
      </c>
    </row>
    <row r="99" spans="3:38">
      <c r="C99" s="412"/>
      <c r="E99" s="53" t="s">
        <v>67</v>
      </c>
      <c r="F99" s="331"/>
      <c r="G99" s="314"/>
      <c r="H99" s="333"/>
      <c r="I99" s="314">
        <v>1386.2616241446576</v>
      </c>
      <c r="J99" s="314">
        <v>3384.4437175758908</v>
      </c>
      <c r="K99" s="314">
        <v>3445.8074111999999</v>
      </c>
      <c r="L99" s="314">
        <v>3445.8074111999999</v>
      </c>
      <c r="M99" s="314">
        <v>3445.8074111999999</v>
      </c>
      <c r="N99" s="314">
        <v>3445.8074111999999</v>
      </c>
      <c r="O99" s="314">
        <v>3445.8074111999999</v>
      </c>
      <c r="P99" s="314">
        <v>3445.8074111999999</v>
      </c>
      <c r="Q99" s="314">
        <v>3445.8074111999999</v>
      </c>
      <c r="R99" s="314">
        <v>3445.8074111999999</v>
      </c>
      <c r="S99" s="314">
        <v>3445.8074111999999</v>
      </c>
      <c r="T99" s="314">
        <v>3445.8074111999999</v>
      </c>
      <c r="U99" s="314">
        <v>3445.8074111999999</v>
      </c>
      <c r="V99" s="314">
        <v>3445.8074111999999</v>
      </c>
      <c r="W99" s="314">
        <v>3445.8074111999999</v>
      </c>
      <c r="X99" s="314">
        <v>3445.8074111999999</v>
      </c>
      <c r="Y99" s="314">
        <v>3445.8074111999999</v>
      </c>
      <c r="Z99" s="314">
        <v>3445.8074111999999</v>
      </c>
      <c r="AA99" s="314">
        <v>3445.8074111999999</v>
      </c>
      <c r="AB99" s="314">
        <v>3445.8074111999999</v>
      </c>
      <c r="AC99" s="314">
        <v>3445.8074111999999</v>
      </c>
      <c r="AD99" s="314">
        <v>3445.8074111999999</v>
      </c>
      <c r="AE99" s="314">
        <v>3445.8074111999999</v>
      </c>
      <c r="AF99" s="314">
        <v>3445.8074111999999</v>
      </c>
      <c r="AG99" s="314">
        <v>3445.8074111999999</v>
      </c>
      <c r="AH99" s="314">
        <v>3445.8074111999999</v>
      </c>
      <c r="AI99" s="314">
        <v>3445.8074111999999</v>
      </c>
      <c r="AJ99" s="314">
        <v>3445.8074111999999</v>
      </c>
      <c r="AK99" s="314">
        <v>3445.8074111999999</v>
      </c>
      <c r="AL99" s="314">
        <v>3445.8074111999999</v>
      </c>
    </row>
    <row r="100" spans="3:38">
      <c r="C100" s="412"/>
      <c r="E100" s="53" t="s">
        <v>68</v>
      </c>
      <c r="F100" s="331"/>
      <c r="G100" s="314"/>
      <c r="H100" s="333"/>
      <c r="I100" s="314">
        <v>0</v>
      </c>
      <c r="J100" s="314">
        <v>690.78704881612646</v>
      </c>
      <c r="K100" s="314">
        <v>1024.2200888932591</v>
      </c>
      <c r="L100" s="314">
        <v>1477.9495882729727</v>
      </c>
      <c r="M100" s="314">
        <v>2134.8981802603093</v>
      </c>
      <c r="N100" s="314">
        <v>2286.7131619677089</v>
      </c>
      <c r="O100" s="314">
        <v>2214.9532445537097</v>
      </c>
      <c r="P100" s="314">
        <v>2139.6448342388835</v>
      </c>
      <c r="Q100" s="314">
        <v>2069.0365547090005</v>
      </c>
      <c r="R100" s="314">
        <v>2002.8273849583122</v>
      </c>
      <c r="S100" s="314">
        <v>1940.7397360246046</v>
      </c>
      <c r="T100" s="314">
        <v>1882.5175439438665</v>
      </c>
      <c r="U100" s="314">
        <v>1827.9245351694942</v>
      </c>
      <c r="V100" s="314">
        <v>1776.7426481847483</v>
      </c>
      <c r="W100" s="314">
        <v>1728.77059668376</v>
      </c>
      <c r="X100" s="314">
        <v>1683.8225611699822</v>
      </c>
      <c r="Y100" s="314">
        <v>1641.7269971407327</v>
      </c>
      <c r="Z100" s="314">
        <v>1602.3255492093551</v>
      </c>
      <c r="AA100" s="314">
        <v>1565.47206157754</v>
      </c>
      <c r="AB100" s="314">
        <v>1531.0316762228342</v>
      </c>
      <c r="AC100" s="314">
        <v>1498.8800110221546</v>
      </c>
      <c r="AD100" s="314">
        <v>1468.9024108017115</v>
      </c>
      <c r="AE100" s="314">
        <v>1440.993264996479</v>
      </c>
      <c r="AF100" s="314">
        <v>1415.0553862265422</v>
      </c>
      <c r="AG100" s="314">
        <v>1390.9994446606909</v>
      </c>
      <c r="AH100" s="314">
        <v>1368.7434535461198</v>
      </c>
      <c r="AI100" s="314">
        <v>1348.2123017429278</v>
      </c>
      <c r="AJ100" s="314">
        <v>1329.3373295185268</v>
      </c>
      <c r="AK100" s="314">
        <v>1312.055944234786</v>
      </c>
      <c r="AL100" s="314">
        <v>1299.375</v>
      </c>
    </row>
    <row r="101" spans="3:38">
      <c r="C101" s="412"/>
      <c r="E101" s="53" t="s">
        <v>69</v>
      </c>
      <c r="F101" s="331"/>
      <c r="G101" s="314"/>
      <c r="H101" s="333"/>
      <c r="I101" s="314">
        <v>0</v>
      </c>
      <c r="J101" s="314">
        <v>0</v>
      </c>
      <c r="K101" s="314">
        <v>3733.641840802391</v>
      </c>
      <c r="L101" s="314">
        <v>6912.8352013585973</v>
      </c>
      <c r="M101" s="314">
        <v>8988.2820216636974</v>
      </c>
      <c r="N101" s="314">
        <v>9206.7501470373118</v>
      </c>
      <c r="O101" s="314">
        <v>9361.6076845104799</v>
      </c>
      <c r="P101" s="314">
        <v>9528.8996138326838</v>
      </c>
      <c r="Q101" s="314">
        <v>9709.1863945263995</v>
      </c>
      <c r="R101" s="314">
        <v>9449.9968080814615</v>
      </c>
      <c r="S101" s="314">
        <v>9189.1768961784128</v>
      </c>
      <c r="T101" s="314">
        <v>8944.7447907400674</v>
      </c>
      <c r="U101" s="314">
        <v>8715.7593240971219</v>
      </c>
      <c r="V101" s="314">
        <v>8501.3516447243328</v>
      </c>
      <c r="W101" s="314">
        <v>8300.7197459088402</v>
      </c>
      <c r="X101" s="314">
        <v>8113.1234796512999</v>
      </c>
      <c r="Y101" s="314">
        <v>7937.8800124908321</v>
      </c>
      <c r="Z101" s="314">
        <v>7774.3596842335219</v>
      </c>
      <c r="AA101" s="314">
        <v>7621.9822344225449</v>
      </c>
      <c r="AB101" s="314">
        <v>7480.2133648622857</v>
      </c>
      <c r="AC101" s="314">
        <v>7348.5616096407102</v>
      </c>
      <c r="AD101" s="314">
        <v>7226.5754869206739</v>
      </c>
      <c r="AE101" s="314">
        <v>7113.8409093247119</v>
      </c>
      <c r="AF101" s="314">
        <v>7009.9788320485713</v>
      </c>
      <c r="AG101" s="314">
        <v>6914.6431199327108</v>
      </c>
      <c r="AH101" s="314">
        <v>6827.518616621559</v>
      </c>
      <c r="AI101" s="314">
        <v>6748.319400668749</v>
      </c>
      <c r="AJ101" s="314">
        <v>6676.7872150216617</v>
      </c>
      <c r="AK101" s="314">
        <v>6612.6900577574543</v>
      </c>
      <c r="AL101" s="314">
        <v>6555.8209232607405</v>
      </c>
    </row>
    <row r="102" spans="3:38">
      <c r="C102" s="412"/>
      <c r="E102" s="52" t="s">
        <v>219</v>
      </c>
      <c r="F102" s="331">
        <v>0</v>
      </c>
      <c r="G102" s="312">
        <v>0</v>
      </c>
      <c r="H102" s="333">
        <v>0</v>
      </c>
      <c r="I102" s="312">
        <v>14224.702348357167</v>
      </c>
      <c r="J102" s="312">
        <v>40830.685859598874</v>
      </c>
      <c r="K102" s="312">
        <v>45473.182655153621</v>
      </c>
      <c r="L102" s="312">
        <v>48605.704138797199</v>
      </c>
      <c r="M102" s="312">
        <v>50831.943558969921</v>
      </c>
      <c r="N102" s="312">
        <v>50690.249880021845</v>
      </c>
      <c r="O102" s="312">
        <v>50255.482981012596</v>
      </c>
      <c r="P102" s="312">
        <v>49823.646538982255</v>
      </c>
      <c r="Q102" s="312">
        <v>49403.481149556443</v>
      </c>
      <c r="R102" s="312">
        <v>48542.145298029398</v>
      </c>
      <c r="S102" s="312">
        <v>47677.137365264898</v>
      </c>
      <c r="T102" s="312">
        <v>46826.148541540912</v>
      </c>
      <c r="U102" s="312">
        <v>45987.929692867328</v>
      </c>
      <c r="V102" s="312">
        <v>45161.321388961085</v>
      </c>
      <c r="W102" s="312">
        <v>44345.246985614081</v>
      </c>
      <c r="X102" s="312">
        <v>43538.706320602403</v>
      </c>
      <c r="Y102" s="312">
        <v>42740.769967995046</v>
      </c>
      <c r="Z102" s="312">
        <v>41950.574001192428</v>
      </c>
      <c r="AA102" s="312">
        <v>41167.315219943637</v>
      </c>
      <c r="AB102" s="312">
        <v>40390.246801018904</v>
      </c>
      <c r="AC102" s="312">
        <v>39618.674336200762</v>
      </c>
      <c r="AD102" s="312">
        <v>38851.952224853856</v>
      </c>
      <c r="AE102" s="312">
        <v>38089.480391579556</v>
      </c>
      <c r="AF102" s="312">
        <v>37330.701302396832</v>
      </c>
      <c r="AG102" s="312">
        <v>36575.097255547407</v>
      </c>
      <c r="AH102" s="312">
        <v>35822.187925432532</v>
      </c>
      <c r="AI102" s="312">
        <v>35071.52814037697</v>
      </c>
      <c r="AJ102" s="312">
        <v>34322.70587690697</v>
      </c>
      <c r="AK102" s="312">
        <v>33575.34045504612</v>
      </c>
      <c r="AL102" s="312">
        <v>32832.144647889625</v>
      </c>
    </row>
    <row r="103" spans="3:38" ht="3.75" customHeight="1">
      <c r="E103" s="52"/>
      <c r="F103" s="64"/>
      <c r="G103" s="65"/>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row>
    <row r="104" spans="3:38">
      <c r="C104" s="51"/>
      <c r="E104" s="53" t="s">
        <v>397</v>
      </c>
      <c r="F104" s="331"/>
      <c r="G104" s="333"/>
      <c r="H104" s="333"/>
      <c r="I104" s="333">
        <v>9.9052528789184855</v>
      </c>
      <c r="J104" s="333">
        <v>7.7183773693438216</v>
      </c>
      <c r="K104" s="333">
        <v>7.6748788954119913</v>
      </c>
      <c r="L104" s="333">
        <v>7.6335893493470772</v>
      </c>
      <c r="M104" s="333">
        <v>7.6100096546207956</v>
      </c>
      <c r="N104" s="333">
        <v>7.619951719592045</v>
      </c>
      <c r="O104" s="333">
        <v>7.6306111646062016</v>
      </c>
      <c r="P104" s="333">
        <v>7.6414386320409413</v>
      </c>
      <c r="Q104" s="333">
        <v>7.6524125352768078</v>
      </c>
      <c r="R104" s="333">
        <v>7.6737911755890211</v>
      </c>
      <c r="S104" s="333">
        <v>7.6961925066843939</v>
      </c>
      <c r="T104" s="333">
        <v>7.7196493288119754</v>
      </c>
      <c r="U104" s="333">
        <v>7.7441954052870976</v>
      </c>
      <c r="V104" s="333">
        <v>7.7698654902361923</v>
      </c>
      <c r="W104" s="333">
        <v>7.796695357142684</v>
      </c>
      <c r="X104" s="333">
        <v>7.8247218282172009</v>
      </c>
      <c r="Y104" s="333">
        <v>7.8539828046161162</v>
      </c>
      <c r="Z104" s="333">
        <v>7.8845172975330904</v>
      </c>
      <c r="AA104" s="333">
        <v>7.9163654601891054</v>
      </c>
      <c r="AB104" s="333">
        <v>7.949568620747046</v>
      </c>
      <c r="AC104" s="333">
        <v>7.9841693161778826</v>
      </c>
      <c r="AD104" s="333">
        <v>8.0202113271060842</v>
      </c>
      <c r="AE104" s="333">
        <v>8.0577397136628583</v>
      </c>
      <c r="AF104" s="333">
        <v>8.0968008523765675</v>
      </c>
      <c r="AG104" s="333">
        <v>8.1374424741305873</v>
      </c>
      <c r="AH104" s="333">
        <v>8.1797137032196918</v>
      </c>
      <c r="AI104" s="333">
        <v>8.2236650975370829</v>
      </c>
      <c r="AJ104" s="333">
        <v>8.2693486899249571</v>
      </c>
      <c r="AK104" s="333">
        <v>8.31681803072264</v>
      </c>
      <c r="AL104" s="333">
        <v>8.3661282315472221</v>
      </c>
    </row>
    <row r="105" spans="3:38">
      <c r="C105" s="51"/>
      <c r="E105" s="53" t="s">
        <v>396</v>
      </c>
      <c r="F105" s="331"/>
      <c r="G105" s="333"/>
      <c r="H105" s="333"/>
      <c r="I105" s="333">
        <v>9.8442845690350094</v>
      </c>
      <c r="J105" s="333">
        <v>7.6581885696942624</v>
      </c>
      <c r="K105" s="333">
        <v>7.6154785703640382</v>
      </c>
      <c r="L105" s="333">
        <v>7.5749865663586515</v>
      </c>
      <c r="M105" s="333">
        <v>7.552213585425581</v>
      </c>
      <c r="N105" s="333">
        <v>7.562971641398665</v>
      </c>
      <c r="O105" s="333">
        <v>7.5744564613111756</v>
      </c>
      <c r="P105" s="333">
        <v>7.5861187954555991</v>
      </c>
      <c r="Q105" s="333">
        <v>7.597937166368312</v>
      </c>
      <c r="R105" s="333">
        <v>7.6201699857356564</v>
      </c>
      <c r="S105" s="333">
        <v>7.6434353189452926</v>
      </c>
      <c r="T105" s="333">
        <v>7.6677660792114564</v>
      </c>
      <c r="U105" s="333">
        <v>7.693196144113748</v>
      </c>
      <c r="V105" s="333">
        <v>7.7197603833569257</v>
      </c>
      <c r="W105" s="333">
        <v>7.7474946873318844</v>
      </c>
      <c r="X105" s="333">
        <v>7.7764359965011574</v>
      </c>
      <c r="Y105" s="333">
        <v>7.8066223316329131</v>
      </c>
      <c r="Z105" s="333">
        <v>7.8380928249081609</v>
      </c>
      <c r="AA105" s="333">
        <v>7.870887751926567</v>
      </c>
      <c r="AB105" s="333">
        <v>7.9050485646370685</v>
      </c>
      <c r="AC105" s="333">
        <v>7.9406179252202147</v>
      </c>
      <c r="AD105" s="333">
        <v>7.977639740949984</v>
      </c>
      <c r="AE105" s="333">
        <v>8.0161592000635373</v>
      </c>
      <c r="AF105" s="333">
        <v>8.0562228086684371</v>
      </c>
      <c r="AG105" s="333">
        <v>8.0978784287173866</v>
      </c>
      <c r="AH105" s="333">
        <v>8.1411753170818209</v>
      </c>
      <c r="AI105" s="333">
        <v>8.186164165756205</v>
      </c>
      <c r="AJ105" s="333">
        <v>8.2328971432261753</v>
      </c>
      <c r="AK105" s="333">
        <v>8.2814279370343993</v>
      </c>
      <c r="AL105" s="333">
        <v>8.3318117975791459</v>
      </c>
    </row>
    <row r="106" spans="3:38">
      <c r="C106" s="51"/>
      <c r="E106" s="53" t="s">
        <v>67</v>
      </c>
      <c r="F106" s="331"/>
      <c r="G106" s="333"/>
      <c r="H106" s="333"/>
      <c r="I106" s="333">
        <v>0.46799999999999992</v>
      </c>
      <c r="J106" s="333">
        <v>0.39600000000000002</v>
      </c>
      <c r="K106" s="333">
        <v>0.39600000000000002</v>
      </c>
      <c r="L106" s="333">
        <v>0.39600000000000002</v>
      </c>
      <c r="M106" s="333">
        <v>0.39600000000000002</v>
      </c>
      <c r="N106" s="333">
        <v>0.39600000000000002</v>
      </c>
      <c r="O106" s="333">
        <v>0.39600000000000002</v>
      </c>
      <c r="P106" s="333">
        <v>0.39600000000000002</v>
      </c>
      <c r="Q106" s="333">
        <v>0.39600000000000002</v>
      </c>
      <c r="R106" s="333">
        <v>0.39600000000000002</v>
      </c>
      <c r="S106" s="333">
        <v>0.39600000000000002</v>
      </c>
      <c r="T106" s="333">
        <v>0.39600000000000002</v>
      </c>
      <c r="U106" s="333">
        <v>0.39600000000000002</v>
      </c>
      <c r="V106" s="333">
        <v>0.39600000000000002</v>
      </c>
      <c r="W106" s="333">
        <v>0.39600000000000002</v>
      </c>
      <c r="X106" s="333">
        <v>0.39600000000000002</v>
      </c>
      <c r="Y106" s="333">
        <v>0.39600000000000002</v>
      </c>
      <c r="Z106" s="333">
        <v>0.39600000000000002</v>
      </c>
      <c r="AA106" s="333">
        <v>0.39600000000000002</v>
      </c>
      <c r="AB106" s="333">
        <v>0.39600000000000002</v>
      </c>
      <c r="AC106" s="333">
        <v>0.39600000000000002</v>
      </c>
      <c r="AD106" s="333">
        <v>0.39600000000000002</v>
      </c>
      <c r="AE106" s="333">
        <v>0.39600000000000002</v>
      </c>
      <c r="AF106" s="333">
        <v>0.39600000000000002</v>
      </c>
      <c r="AG106" s="333">
        <v>0.39600000000000002</v>
      </c>
      <c r="AH106" s="333">
        <v>0.39600000000000002</v>
      </c>
      <c r="AI106" s="333">
        <v>0.39600000000000002</v>
      </c>
      <c r="AJ106" s="333">
        <v>0.39600000000000002</v>
      </c>
      <c r="AK106" s="333">
        <v>0.39600000000000002</v>
      </c>
      <c r="AL106" s="333">
        <v>0.39600000000000002</v>
      </c>
    </row>
    <row r="107" spans="3:38">
      <c r="C107" s="51"/>
      <c r="E107" s="53" t="s">
        <v>68</v>
      </c>
      <c r="F107" s="331"/>
      <c r="G107" s="333"/>
      <c r="H107" s="333"/>
      <c r="I107" s="333">
        <v>0</v>
      </c>
      <c r="J107" s="333">
        <v>205.60867873462485</v>
      </c>
      <c r="K107" s="333">
        <v>193.50845068154948</v>
      </c>
      <c r="L107" s="333">
        <v>184.60881094115041</v>
      </c>
      <c r="M107" s="333">
        <v>177.94232139015867</v>
      </c>
      <c r="N107" s="333">
        <v>175.15636401477767</v>
      </c>
      <c r="O107" s="333">
        <v>173.35687338950814</v>
      </c>
      <c r="P107" s="333">
        <v>171.68612048374658</v>
      </c>
      <c r="Q107" s="333">
        <v>170.13604282995698</v>
      </c>
      <c r="R107" s="333">
        <v>168.70628337937296</v>
      </c>
      <c r="S107" s="333">
        <v>167.38354746110414</v>
      </c>
      <c r="T107" s="333">
        <v>166.1615657109995</v>
      </c>
      <c r="U107" s="333">
        <v>165.03456297760735</v>
      </c>
      <c r="V107" s="333">
        <v>163.99721912582214</v>
      </c>
      <c r="W107" s="333">
        <v>163.04463336164423</v>
      </c>
      <c r="X107" s="333">
        <v>162.17229175109244</v>
      </c>
      <c r="Y107" s="333">
        <v>161.37603763912313</v>
      </c>
      <c r="Z107" s="333">
        <v>160.65204470382116</v>
      </c>
      <c r="AA107" s="333">
        <v>159.99679240751132</v>
      </c>
      <c r="AB107" s="333">
        <v>159.40704363012037</v>
      </c>
      <c r="AC107" s="333">
        <v>158.87982429140041</v>
      </c>
      <c r="AD107" s="333">
        <v>158.41240478776021</v>
      </c>
      <c r="AE107" s="333">
        <v>158.00228308667408</v>
      </c>
      <c r="AF107" s="333">
        <v>157.64716933716247</v>
      </c>
      <c r="AG107" s="333">
        <v>157.34497186883436</v>
      </c>
      <c r="AH107" s="333">
        <v>157.09378446462898</v>
      </c>
      <c r="AI107" s="333">
        <v>156.89187480382725</v>
      </c>
      <c r="AJ107" s="333">
        <v>156.73767398225741</v>
      </c>
      <c r="AK107" s="333">
        <v>156.62976702601412</v>
      </c>
      <c r="AL107" s="333">
        <v>156.64306091023477</v>
      </c>
    </row>
    <row r="108" spans="3:38">
      <c r="C108" s="51"/>
      <c r="E108" s="53" t="s">
        <v>69</v>
      </c>
      <c r="F108" s="331"/>
      <c r="G108" s="333"/>
      <c r="H108" s="333"/>
      <c r="I108" s="333">
        <v>0</v>
      </c>
      <c r="J108" s="333">
        <v>0</v>
      </c>
      <c r="K108" s="333">
        <v>40.884671812755045</v>
      </c>
      <c r="L108" s="333">
        <v>37.110439964464049</v>
      </c>
      <c r="M108" s="333">
        <v>35.852109504175452</v>
      </c>
      <c r="N108" s="333">
        <v>35.51298897216563</v>
      </c>
      <c r="O108" s="333">
        <v>35.194127462041322</v>
      </c>
      <c r="P108" s="333">
        <v>34.894007626925337</v>
      </c>
      <c r="Q108" s="333">
        <v>34.611561037986256</v>
      </c>
      <c r="R108" s="333">
        <v>34.489136003151152</v>
      </c>
      <c r="S108" s="333">
        <v>34.381924284489472</v>
      </c>
      <c r="T108" s="333">
        <v>34.289198040521036</v>
      </c>
      <c r="U108" s="333">
        <v>34.210290030415102</v>
      </c>
      <c r="V108" s="333">
        <v>34.144589082253873</v>
      </c>
      <c r="W108" s="333">
        <v>34.091535967045175</v>
      </c>
      <c r="X108" s="333">
        <v>34.050619641991084</v>
      </c>
      <c r="Y108" s="333">
        <v>34.021373830143304</v>
      </c>
      <c r="Z108" s="333">
        <v>34.003373906834071</v>
      </c>
      <c r="AA108" s="333">
        <v>33.99623406620168</v>
      </c>
      <c r="AB108" s="333">
        <v>33.999604743768948</v>
      </c>
      <c r="AC108" s="333">
        <v>34.013170273411973</v>
      </c>
      <c r="AD108" s="333">
        <v>34.036646759203514</v>
      </c>
      <c r="AE108" s="333">
        <v>34.069780144555594</v>
      </c>
      <c r="AF108" s="333">
        <v>34.112344462841222</v>
      </c>
      <c r="AG108" s="333">
        <v>34.164140255266155</v>
      </c>
      <c r="AH108" s="333">
        <v>34.224993143205758</v>
      </c>
      <c r="AI108" s="333">
        <v>34.294752543534855</v>
      </c>
      <c r="AJ108" s="333">
        <v>34.373290516676306</v>
      </c>
      <c r="AK108" s="333">
        <v>34.460500738186568</v>
      </c>
      <c r="AL108" s="333">
        <v>34.556297585698644</v>
      </c>
    </row>
    <row r="109" spans="3:38">
      <c r="C109" s="51"/>
      <c r="E109" s="52" t="s">
        <v>220</v>
      </c>
      <c r="F109" s="339"/>
      <c r="G109" s="340"/>
      <c r="H109" s="340"/>
      <c r="I109" s="340">
        <v>3.7882012443196933</v>
      </c>
      <c r="J109" s="340">
        <v>3.1045274055874117</v>
      </c>
      <c r="K109" s="340">
        <v>3.8920407906096259</v>
      </c>
      <c r="L109" s="340">
        <v>4.4104596096463569</v>
      </c>
      <c r="M109" s="340">
        <v>4.8094039878473005</v>
      </c>
      <c r="N109" s="340">
        <v>4.9061774798647839</v>
      </c>
      <c r="O109" s="340">
        <v>4.9654572692361683</v>
      </c>
      <c r="P109" s="340">
        <v>5.026653725678436</v>
      </c>
      <c r="Q109" s="340">
        <v>5.0909648333546853</v>
      </c>
      <c r="R109" s="340">
        <v>5.0932166793226799</v>
      </c>
      <c r="S109" s="340">
        <v>5.0931050297449856</v>
      </c>
      <c r="T109" s="340">
        <v>5.0943357402022738</v>
      </c>
      <c r="U109" s="340">
        <v>5.0968739856195011</v>
      </c>
      <c r="V109" s="340">
        <v>5.1006891560180208</v>
      </c>
      <c r="W109" s="340">
        <v>5.1057545780996758</v>
      </c>
      <c r="X109" s="340">
        <v>5.1120472629306679</v>
      </c>
      <c r="Y109" s="340">
        <v>5.1195476774194404</v>
      </c>
      <c r="Z109" s="340">
        <v>5.1282395375127479</v>
      </c>
      <c r="AA109" s="340">
        <v>5.1381096212409876</v>
      </c>
      <c r="AB109" s="340">
        <v>5.1491475999300693</v>
      </c>
      <c r="AC109" s="340">
        <v>5.1613458860647601</v>
      </c>
      <c r="AD109" s="340">
        <v>5.1746994964398993</v>
      </c>
      <c r="AE109" s="340">
        <v>5.1892059293723518</v>
      </c>
      <c r="AF109" s="340">
        <v>5.2048650548703304</v>
      </c>
      <c r="AG109" s="340">
        <v>5.2216790167684355</v>
      </c>
      <c r="AH109" s="340">
        <v>5.23965214593846</v>
      </c>
      <c r="AI109" s="340">
        <v>5.2587908837780812</v>
      </c>
      <c r="AJ109" s="340">
        <v>5.279103715263707</v>
      </c>
      <c r="AK109" s="340">
        <v>5.3006011109303026</v>
      </c>
      <c r="AL109" s="340">
        <v>5.3234241260382831</v>
      </c>
    </row>
    <row r="110" spans="3:38" ht="3.75" customHeight="1">
      <c r="E110" s="52"/>
      <c r="F110" s="64"/>
      <c r="G110" s="65"/>
      <c r="H110" s="65"/>
      <c r="I110" s="65"/>
      <c r="J110" s="65"/>
      <c r="K110" s="65"/>
      <c r="L110" s="65"/>
      <c r="M110" s="65"/>
      <c r="N110" s="65"/>
      <c r="O110" s="65"/>
      <c r="P110" s="65"/>
      <c r="Q110" s="65"/>
      <c r="R110" s="65"/>
      <c r="S110" s="65"/>
      <c r="T110" s="65"/>
      <c r="U110" s="65"/>
      <c r="V110" s="65"/>
      <c r="W110" s="65"/>
      <c r="X110" s="65"/>
      <c r="Y110" s="65"/>
      <c r="Z110" s="65"/>
      <c r="AA110" s="65"/>
      <c r="AB110" s="65"/>
      <c r="AC110" s="65"/>
      <c r="AD110" s="65"/>
      <c r="AE110" s="65"/>
      <c r="AF110" s="65"/>
      <c r="AG110" s="65"/>
      <c r="AH110" s="65"/>
      <c r="AI110" s="65"/>
      <c r="AJ110" s="65"/>
      <c r="AK110" s="65"/>
      <c r="AL110" s="65"/>
    </row>
    <row r="111" spans="3:38">
      <c r="C111" s="51"/>
      <c r="E111" s="53" t="s">
        <v>397</v>
      </c>
      <c r="F111" s="311"/>
      <c r="G111" s="314"/>
      <c r="H111" s="312"/>
      <c r="I111" s="314">
        <v>6380.9736741637707</v>
      </c>
      <c r="J111" s="314">
        <v>14419.340310534641</v>
      </c>
      <c r="K111" s="314">
        <v>14731.592345071918</v>
      </c>
      <c r="L111" s="314">
        <v>14652.338878140343</v>
      </c>
      <c r="M111" s="314">
        <v>14607.078691619812</v>
      </c>
      <c r="N111" s="314">
        <v>14626.162047881267</v>
      </c>
      <c r="O111" s="314">
        <v>14646.62238357036</v>
      </c>
      <c r="P111" s="314">
        <v>14667.405230902777</v>
      </c>
      <c r="Q111" s="314">
        <v>14688.469155312281</v>
      </c>
      <c r="R111" s="314">
        <v>14729.504514731399</v>
      </c>
      <c r="S111" s="314">
        <v>14772.502884110399</v>
      </c>
      <c r="T111" s="314">
        <v>14817.527222084118</v>
      </c>
      <c r="U111" s="314">
        <v>14864.642335850749</v>
      </c>
      <c r="V111" s="314">
        <v>14913.914934426801</v>
      </c>
      <c r="W111" s="314">
        <v>14965.413683439667</v>
      </c>
      <c r="X111" s="314">
        <v>15019.209261502474</v>
      </c>
      <c r="Y111" s="314">
        <v>15075.37441821723</v>
      </c>
      <c r="Z111" s="314">
        <v>15133.984033853674</v>
      </c>
      <c r="AA111" s="314">
        <v>15195.115180752739</v>
      </c>
      <c r="AB111" s="314">
        <v>15258.847186504641</v>
      </c>
      <c r="AC111" s="314">
        <v>15325.261698953533</v>
      </c>
      <c r="AD111" s="314">
        <v>15394.442753081734</v>
      </c>
      <c r="AE111" s="314">
        <v>15466.476839828454</v>
      </c>
      <c r="AF111" s="314">
        <v>15541.452976899316</v>
      </c>
      <c r="AG111" s="314">
        <v>15619.462781624799</v>
      </c>
      <c r="AH111" s="314">
        <v>15700.600545927255</v>
      </c>
      <c r="AI111" s="314">
        <v>15784.963313458138</v>
      </c>
      <c r="AJ111" s="314">
        <v>15872.650958968599</v>
      </c>
      <c r="AK111" s="314">
        <v>15963.766269978754</v>
      </c>
      <c r="AL111" s="314">
        <v>16058.415030812706</v>
      </c>
    </row>
    <row r="112" spans="3:38">
      <c r="C112" s="51"/>
      <c r="E112" s="53" t="s">
        <v>396</v>
      </c>
      <c r="F112" s="311"/>
      <c r="G112" s="314"/>
      <c r="H112" s="312"/>
      <c r="I112" s="314">
        <v>19025.093486411126</v>
      </c>
      <c r="J112" s="314">
        <v>42920.689879946614</v>
      </c>
      <c r="K112" s="314">
        <v>43852.72810427002</v>
      </c>
      <c r="L112" s="314">
        <v>43619.560244149536</v>
      </c>
      <c r="M112" s="314">
        <v>43488.425039479924</v>
      </c>
      <c r="N112" s="314">
        <v>43550.37388473755</v>
      </c>
      <c r="O112" s="314">
        <v>43616.507704207514</v>
      </c>
      <c r="P112" s="314">
        <v>43683.663715950061</v>
      </c>
      <c r="Q112" s="314">
        <v>43751.718244825955</v>
      </c>
      <c r="R112" s="314">
        <v>43879.743000420662</v>
      </c>
      <c r="S112" s="314">
        <v>44013.713350684367</v>
      </c>
      <c r="T112" s="314">
        <v>44153.818822016707</v>
      </c>
      <c r="U112" s="314">
        <v>44300.254493987988</v>
      </c>
      <c r="V112" s="314">
        <v>44453.221159190245</v>
      </c>
      <c r="W112" s="314">
        <v>44612.925487701919</v>
      </c>
      <c r="X112" s="314">
        <v>44779.580196300369</v>
      </c>
      <c r="Y112" s="314">
        <v>44953.404222560348</v>
      </c>
      <c r="Z112" s="314">
        <v>45134.622903980751</v>
      </c>
      <c r="AA112" s="314">
        <v>45323.46816228587</v>
      </c>
      <c r="AB112" s="314">
        <v>45520.178693052017</v>
      </c>
      <c r="AC112" s="314">
        <v>45725.000160814481</v>
      </c>
      <c r="AD112" s="314">
        <v>45938.185399814669</v>
      </c>
      <c r="AE112" s="314">
        <v>46159.994620551472</v>
      </c>
      <c r="AF112" s="314">
        <v>46390.695622306448</v>
      </c>
      <c r="AG112" s="314">
        <v>46630.564011816481</v>
      </c>
      <c r="AH112" s="314">
        <v>46879.88342827381</v>
      </c>
      <c r="AI112" s="314">
        <v>47138.945774837222</v>
      </c>
      <c r="AJ112" s="314">
        <v>47408.051456845023</v>
      </c>
      <c r="AK112" s="314">
        <v>47687.509626924897</v>
      </c>
      <c r="AL112" s="314">
        <v>47977.638437202229</v>
      </c>
    </row>
    <row r="113" spans="3:38">
      <c r="C113" s="51"/>
      <c r="E113" s="53" t="s">
        <v>67</v>
      </c>
      <c r="F113" s="311"/>
      <c r="G113" s="314"/>
      <c r="H113" s="312"/>
      <c r="I113" s="314">
        <v>2079.392436216986</v>
      </c>
      <c r="J113" s="314">
        <v>5076.6655763638355</v>
      </c>
      <c r="K113" s="314">
        <v>5168.711116800001</v>
      </c>
      <c r="L113" s="314">
        <v>5168.711116800001</v>
      </c>
      <c r="M113" s="314">
        <v>5168.711116800001</v>
      </c>
      <c r="N113" s="314">
        <v>5168.711116800001</v>
      </c>
      <c r="O113" s="314">
        <v>5168.711116800001</v>
      </c>
      <c r="P113" s="314">
        <v>5168.711116800001</v>
      </c>
      <c r="Q113" s="314">
        <v>5168.711116800001</v>
      </c>
      <c r="R113" s="314">
        <v>5168.711116800001</v>
      </c>
      <c r="S113" s="314">
        <v>5168.711116800001</v>
      </c>
      <c r="T113" s="314">
        <v>5168.711116800001</v>
      </c>
      <c r="U113" s="314">
        <v>5168.711116800001</v>
      </c>
      <c r="V113" s="314">
        <v>5168.711116800001</v>
      </c>
      <c r="W113" s="314">
        <v>5168.711116800001</v>
      </c>
      <c r="X113" s="314">
        <v>5168.711116800001</v>
      </c>
      <c r="Y113" s="314">
        <v>5168.711116800001</v>
      </c>
      <c r="Z113" s="314">
        <v>5168.711116800001</v>
      </c>
      <c r="AA113" s="314">
        <v>5168.711116800001</v>
      </c>
      <c r="AB113" s="314">
        <v>5168.711116800001</v>
      </c>
      <c r="AC113" s="314">
        <v>5168.711116800001</v>
      </c>
      <c r="AD113" s="314">
        <v>5168.711116800001</v>
      </c>
      <c r="AE113" s="314">
        <v>5168.711116800001</v>
      </c>
      <c r="AF113" s="314">
        <v>5168.711116800001</v>
      </c>
      <c r="AG113" s="314">
        <v>5168.711116800001</v>
      </c>
      <c r="AH113" s="314">
        <v>5168.711116800001</v>
      </c>
      <c r="AI113" s="314">
        <v>5168.711116800001</v>
      </c>
      <c r="AJ113" s="314">
        <v>5168.711116800001</v>
      </c>
      <c r="AK113" s="314">
        <v>5168.711116800001</v>
      </c>
      <c r="AL113" s="314">
        <v>5168.711116800001</v>
      </c>
    </row>
    <row r="114" spans="3:38">
      <c r="C114" s="51"/>
      <c r="E114" s="53" t="s">
        <v>68</v>
      </c>
      <c r="F114" s="311"/>
      <c r="G114" s="314"/>
      <c r="H114" s="312"/>
      <c r="I114" s="314">
        <v>0</v>
      </c>
      <c r="J114" s="314">
        <v>1971.5900700580464</v>
      </c>
      <c r="K114" s="314">
        <v>2862.864749809225</v>
      </c>
      <c r="L114" s="314">
        <v>4096.798270200873</v>
      </c>
      <c r="M114" s="314">
        <v>5923.2854928504867</v>
      </c>
      <c r="N114" s="314">
        <v>6478.3860662999959</v>
      </c>
      <c r="O114" s="314">
        <v>6435.8739245854904</v>
      </c>
      <c r="P114" s="314">
        <v>6373.8472229590916</v>
      </c>
      <c r="Q114" s="314">
        <v>6316.300590062152</v>
      </c>
      <c r="R114" s="314">
        <v>6263.2207704592211</v>
      </c>
      <c r="S114" s="314">
        <v>6214.1141994934915</v>
      </c>
      <c r="T114" s="314">
        <v>6168.7481270208564</v>
      </c>
      <c r="U114" s="314">
        <v>6126.9081505436725</v>
      </c>
      <c r="V114" s="314">
        <v>6088.3967600461474</v>
      </c>
      <c r="W114" s="314">
        <v>6053.032013551041</v>
      </c>
      <c r="X114" s="314">
        <v>6020.6463312593078</v>
      </c>
      <c r="Y114" s="314">
        <v>5991.0853973524463</v>
      </c>
      <c r="Z114" s="314">
        <v>5964.2071596293599</v>
      </c>
      <c r="AA114" s="314">
        <v>5939.880918128858</v>
      </c>
      <c r="AB114" s="314">
        <v>5917.986494768219</v>
      </c>
      <c r="AC114" s="314">
        <v>5898.4134768182403</v>
      </c>
      <c r="AD114" s="314">
        <v>5881.0605277455979</v>
      </c>
      <c r="AE114" s="314">
        <v>5865.8347595927753</v>
      </c>
      <c r="AF114" s="314">
        <v>5852.6511616421558</v>
      </c>
      <c r="AG114" s="314">
        <v>5841.4320806304759</v>
      </c>
      <c r="AH114" s="314">
        <v>5832.1067482493518</v>
      </c>
      <c r="AI114" s="314">
        <v>5824.610852092087</v>
      </c>
      <c r="AJ114" s="314">
        <v>5818.886146591306</v>
      </c>
      <c r="AK114" s="314">
        <v>5814.8801008407745</v>
      </c>
      <c r="AL114" s="314">
        <v>5815.3736362924656</v>
      </c>
    </row>
    <row r="115" spans="3:38">
      <c r="C115" s="51"/>
      <c r="E115" s="53" t="s">
        <v>69</v>
      </c>
      <c r="F115" s="311"/>
      <c r="G115" s="314"/>
      <c r="H115" s="312"/>
      <c r="I115" s="314">
        <v>0</v>
      </c>
      <c r="J115" s="314">
        <v>0</v>
      </c>
      <c r="K115" s="314">
        <v>15681.791928180019</v>
      </c>
      <c r="L115" s="314">
        <v>27299.049672489309</v>
      </c>
      <c r="M115" s="314">
        <v>35483.765913379124</v>
      </c>
      <c r="N115" s="314">
        <v>37215.666525625638</v>
      </c>
      <c r="O115" s="314">
        <v>38725.592991622863</v>
      </c>
      <c r="P115" s="314">
        <v>40315.126311841319</v>
      </c>
      <c r="Q115" s="314">
        <v>41988.238883764541</v>
      </c>
      <c r="R115" s="314">
        <v>41921.760368930249</v>
      </c>
      <c r="S115" s="314">
        <v>41791.44385482373</v>
      </c>
      <c r="T115" s="314">
        <v>41678.734525741078</v>
      </c>
      <c r="U115" s="314">
        <v>41582.82134628226</v>
      </c>
      <c r="V115" s="314">
        <v>41502.961433161356</v>
      </c>
      <c r="W115" s="314">
        <v>41438.475040043209</v>
      </c>
      <c r="X115" s="314">
        <v>41388.74099121293</v>
      </c>
      <c r="Y115" s="314">
        <v>41353.192524125632</v>
      </c>
      <c r="Z115" s="314">
        <v>41331.31350484374</v>
      </c>
      <c r="AA115" s="314">
        <v>41322.634983931057</v>
      </c>
      <c r="AB115" s="314">
        <v>41326.732063580806</v>
      </c>
      <c r="AC115" s="314">
        <v>41343.221049646461</v>
      </c>
      <c r="AD115" s="314">
        <v>41371.75686485412</v>
      </c>
      <c r="AE115" s="314">
        <v>41412.030701833231</v>
      </c>
      <c r="AF115" s="314">
        <v>41463.767896736405</v>
      </c>
      <c r="AG115" s="314">
        <v>41526.726006152603</v>
      </c>
      <c r="AH115" s="314">
        <v>41600.693071773749</v>
      </c>
      <c r="AI115" s="314">
        <v>41685.486058870018</v>
      </c>
      <c r="AJ115" s="314">
        <v>41780.949456085786</v>
      </c>
      <c r="AK115" s="314">
        <v>41886.954025395389</v>
      </c>
      <c r="AL115" s="314">
        <v>42003.395692276616</v>
      </c>
    </row>
    <row r="116" spans="3:38">
      <c r="C116" s="51"/>
      <c r="E116" s="52" t="s">
        <v>221</v>
      </c>
      <c r="F116" s="311">
        <v>0</v>
      </c>
      <c r="G116" s="312">
        <v>0</v>
      </c>
      <c r="H116" s="312">
        <v>0</v>
      </c>
      <c r="I116" s="312">
        <v>27485.459596791883</v>
      </c>
      <c r="J116" s="312">
        <v>64388.285836903131</v>
      </c>
      <c r="K116" s="312">
        <v>82297.688244131175</v>
      </c>
      <c r="L116" s="312">
        <v>94836.458181780064</v>
      </c>
      <c r="M116" s="312">
        <v>104671.26625412935</v>
      </c>
      <c r="N116" s="312">
        <v>107039.29964134445</v>
      </c>
      <c r="O116" s="312">
        <v>108593.30812078623</v>
      </c>
      <c r="P116" s="312">
        <v>110208.75359845326</v>
      </c>
      <c r="Q116" s="312">
        <v>111913.43799076493</v>
      </c>
      <c r="R116" s="312">
        <v>111962.93977134152</v>
      </c>
      <c r="S116" s="312">
        <v>111960.48540591198</v>
      </c>
      <c r="T116" s="312">
        <v>111987.53981366275</v>
      </c>
      <c r="U116" s="312">
        <v>112043.33744346467</v>
      </c>
      <c r="V116" s="312">
        <v>112127.20540362455</v>
      </c>
      <c r="W116" s="312">
        <v>112238.55734153584</v>
      </c>
      <c r="X116" s="312">
        <v>112376.8878970751</v>
      </c>
      <c r="Y116" s="312">
        <v>112541.76767905566</v>
      </c>
      <c r="Z116" s="312">
        <v>112732.83871910752</v>
      </c>
      <c r="AA116" s="312">
        <v>112949.81036189852</v>
      </c>
      <c r="AB116" s="312">
        <v>113192.4555547057</v>
      </c>
      <c r="AC116" s="312">
        <v>113460.60750303272</v>
      </c>
      <c r="AD116" s="312">
        <v>113754.15666229611</v>
      </c>
      <c r="AE116" s="312">
        <v>114073.04803860592</v>
      </c>
      <c r="AF116" s="312">
        <v>114417.27877438434</v>
      </c>
      <c r="AG116" s="312">
        <v>114786.89599702436</v>
      </c>
      <c r="AH116" s="312">
        <v>115181.99491102417</v>
      </c>
      <c r="AI116" s="312">
        <v>115602.71711605747</v>
      </c>
      <c r="AJ116" s="312">
        <v>116049.24913529071</v>
      </c>
      <c r="AK116" s="312">
        <v>116521.82113993981</v>
      </c>
      <c r="AL116" s="312">
        <v>117023.53391338402</v>
      </c>
    </row>
    <row r="117" spans="3:38" ht="3.75" customHeight="1">
      <c r="E117" s="52"/>
      <c r="F117" s="311"/>
      <c r="G117" s="312"/>
      <c r="H117" s="312"/>
      <c r="I117" s="312"/>
      <c r="J117" s="312"/>
      <c r="K117" s="312"/>
      <c r="L117" s="312"/>
      <c r="M117" s="312"/>
      <c r="N117" s="312"/>
      <c r="O117" s="312"/>
      <c r="P117" s="312"/>
      <c r="Q117" s="312"/>
      <c r="R117" s="312"/>
      <c r="S117" s="312"/>
      <c r="T117" s="312"/>
      <c r="U117" s="312"/>
      <c r="V117" s="312"/>
      <c r="W117" s="312"/>
      <c r="X117" s="312"/>
      <c r="Y117" s="312"/>
      <c r="Z117" s="312"/>
      <c r="AA117" s="312"/>
      <c r="AB117" s="312"/>
      <c r="AC117" s="312"/>
      <c r="AD117" s="312"/>
      <c r="AE117" s="312"/>
      <c r="AF117" s="312"/>
      <c r="AG117" s="312"/>
      <c r="AH117" s="312"/>
      <c r="AI117" s="312"/>
      <c r="AJ117" s="312"/>
      <c r="AK117" s="312"/>
      <c r="AL117" s="312"/>
    </row>
    <row r="118" spans="3:38">
      <c r="C118" s="412"/>
      <c r="E118" s="53" t="s">
        <v>222</v>
      </c>
      <c r="F118" s="311"/>
      <c r="G118" s="314"/>
      <c r="H118" s="312"/>
      <c r="I118" s="314">
        <v>2758.9160729040213</v>
      </c>
      <c r="J118" s="314">
        <v>3532.3792840732181</v>
      </c>
      <c r="K118" s="314">
        <v>3638.3506625954142</v>
      </c>
      <c r="L118" s="314">
        <v>3747.5011824732769</v>
      </c>
      <c r="M118" s="314">
        <v>3859.9262179474749</v>
      </c>
      <c r="N118" s="314">
        <v>3975.7240044858991</v>
      </c>
      <c r="O118" s="314">
        <v>4094.9957246204763</v>
      </c>
      <c r="P118" s="314">
        <v>4217.8455963590905</v>
      </c>
      <c r="Q118" s="314">
        <v>4344.3809642498627</v>
      </c>
      <c r="R118" s="314">
        <v>4474.7123931773585</v>
      </c>
      <c r="S118" s="314">
        <v>4608.9537649726799</v>
      </c>
      <c r="T118" s="314">
        <v>4747.2223779218602</v>
      </c>
      <c r="U118" s="314">
        <v>4889.6390492595156</v>
      </c>
      <c r="V118" s="314">
        <v>5036.3282207373004</v>
      </c>
      <c r="W118" s="314">
        <v>5187.4180673594201</v>
      </c>
      <c r="X118" s="314">
        <v>5343.040609380203</v>
      </c>
      <c r="Y118" s="314">
        <v>5503.3318276616083</v>
      </c>
      <c r="Z118" s="314">
        <v>5668.431782491456</v>
      </c>
      <c r="AA118" s="314">
        <v>5838.4847359661999</v>
      </c>
      <c r="AB118" s="314">
        <v>6013.6392780451861</v>
      </c>
      <c r="AC118" s="314">
        <v>6194.0484563865411</v>
      </c>
      <c r="AD118" s="314">
        <v>6379.8699100781369</v>
      </c>
      <c r="AE118" s="314">
        <v>6571.2660073804818</v>
      </c>
      <c r="AF118" s="314">
        <v>6768.403987601896</v>
      </c>
      <c r="AG118" s="314">
        <v>6971.4561072299521</v>
      </c>
      <c r="AH118" s="314">
        <v>7180.5997904468504</v>
      </c>
      <c r="AI118" s="314">
        <v>7396.0177841602572</v>
      </c>
      <c r="AJ118" s="314">
        <v>7617.8983176850643</v>
      </c>
      <c r="AK118" s="314">
        <v>7846.4352672156165</v>
      </c>
      <c r="AL118" s="314">
        <v>8081.8283252320834</v>
      </c>
    </row>
    <row r="119" spans="3:38">
      <c r="C119" s="412"/>
      <c r="E119" s="53" t="s">
        <v>223</v>
      </c>
      <c r="F119" s="313"/>
      <c r="G119" s="314"/>
      <c r="H119" s="314"/>
      <c r="I119" s="314">
        <v>512</v>
      </c>
      <c r="J119" s="314">
        <v>522.24</v>
      </c>
      <c r="K119" s="314">
        <v>532.6848</v>
      </c>
      <c r="L119" s="314">
        <v>543.33849599999996</v>
      </c>
      <c r="M119" s="314">
        <v>554.20526591999999</v>
      </c>
      <c r="N119" s="314">
        <v>565.28937123840001</v>
      </c>
      <c r="O119" s="314">
        <v>576.59515866316804</v>
      </c>
      <c r="P119" s="314">
        <v>588.12706183643127</v>
      </c>
      <c r="Q119" s="314">
        <v>599.88960307315995</v>
      </c>
      <c r="R119" s="314">
        <v>611.88739513462315</v>
      </c>
      <c r="S119" s="314">
        <v>624.12514303731564</v>
      </c>
      <c r="T119" s="314">
        <v>636.60764589806183</v>
      </c>
      <c r="U119" s="314">
        <v>649.33979881602318</v>
      </c>
      <c r="V119" s="314">
        <v>662.3265947923436</v>
      </c>
      <c r="W119" s="314">
        <v>675.57312668819054</v>
      </c>
      <c r="X119" s="314">
        <v>689.08458922195416</v>
      </c>
      <c r="Y119" s="314">
        <v>702.86628100639336</v>
      </c>
      <c r="Z119" s="314">
        <v>716.92360662652129</v>
      </c>
      <c r="AA119" s="314">
        <v>731.26207875905163</v>
      </c>
      <c r="AB119" s="314">
        <v>745.88732033423264</v>
      </c>
      <c r="AC119" s="314">
        <v>760.80506674091737</v>
      </c>
      <c r="AD119" s="314">
        <v>776.02116807573566</v>
      </c>
      <c r="AE119" s="314">
        <v>791.54159143725042</v>
      </c>
      <c r="AF119" s="314">
        <v>807.37242326599528</v>
      </c>
      <c r="AG119" s="314">
        <v>823.51987173131522</v>
      </c>
      <c r="AH119" s="314">
        <v>839.99026916594153</v>
      </c>
      <c r="AI119" s="314">
        <v>856.79007454926045</v>
      </c>
      <c r="AJ119" s="314">
        <v>873.9258760402455</v>
      </c>
      <c r="AK119" s="314">
        <v>891.4043935610506</v>
      </c>
      <c r="AL119" s="314">
        <v>909.23248143227147</v>
      </c>
    </row>
    <row r="120" spans="3:38">
      <c r="C120" s="412"/>
      <c r="E120" s="53" t="s">
        <v>408</v>
      </c>
      <c r="F120" s="313"/>
      <c r="G120" s="314"/>
      <c r="H120" s="314"/>
      <c r="I120" s="314">
        <v>323.74999999999994</v>
      </c>
      <c r="J120" s="314">
        <v>943.49999999999989</v>
      </c>
      <c r="K120" s="314">
        <v>962.36999999999989</v>
      </c>
      <c r="L120" s="314">
        <v>981.61739999999986</v>
      </c>
      <c r="M120" s="314">
        <v>1001.2497479999998</v>
      </c>
      <c r="N120" s="314">
        <v>1021.2747429599999</v>
      </c>
      <c r="O120" s="314">
        <v>1041.7002378191999</v>
      </c>
      <c r="P120" s="314">
        <v>1062.5342425755837</v>
      </c>
      <c r="Q120" s="314">
        <v>1083.7849274270955</v>
      </c>
      <c r="R120" s="314">
        <v>1105.4606259756374</v>
      </c>
      <c r="S120" s="314">
        <v>1127.5698384951502</v>
      </c>
      <c r="T120" s="314">
        <v>1150.121235265053</v>
      </c>
      <c r="U120" s="314">
        <v>1173.1236599703543</v>
      </c>
      <c r="V120" s="314">
        <v>1196.5861331697613</v>
      </c>
      <c r="W120" s="314">
        <v>1220.5178558331565</v>
      </c>
      <c r="X120" s="314">
        <v>1244.9282129498195</v>
      </c>
      <c r="Y120" s="314">
        <v>1269.8267772088159</v>
      </c>
      <c r="Z120" s="314">
        <v>1295.2233127529923</v>
      </c>
      <c r="AA120" s="314">
        <v>1321.1277790080521</v>
      </c>
      <c r="AB120" s="314">
        <v>1347.550334588213</v>
      </c>
      <c r="AC120" s="314">
        <v>1374.5013412799774</v>
      </c>
      <c r="AD120" s="314">
        <v>1401.9913681055768</v>
      </c>
      <c r="AE120" s="314">
        <v>1430.0311954676886</v>
      </c>
      <c r="AF120" s="314">
        <v>1458.6318193770421</v>
      </c>
      <c r="AG120" s="314">
        <v>1487.8044557645831</v>
      </c>
      <c r="AH120" s="314">
        <v>1517.5605448798747</v>
      </c>
      <c r="AI120" s="314">
        <v>1547.9117557774723</v>
      </c>
      <c r="AJ120" s="314">
        <v>1578.8699908930214</v>
      </c>
      <c r="AK120" s="314">
        <v>1610.4473907108822</v>
      </c>
      <c r="AL120" s="314">
        <v>1642.6563385250997</v>
      </c>
    </row>
    <row r="121" spans="3:38">
      <c r="C121" s="412"/>
      <c r="E121" s="53" t="s">
        <v>409</v>
      </c>
      <c r="F121" s="313"/>
      <c r="G121" s="314"/>
      <c r="H121" s="314"/>
      <c r="I121" s="314">
        <v>971.24999999999977</v>
      </c>
      <c r="J121" s="314">
        <v>2830.4999999999995</v>
      </c>
      <c r="K121" s="314">
        <v>2887.1099999999997</v>
      </c>
      <c r="L121" s="314">
        <v>2944.8521999999994</v>
      </c>
      <c r="M121" s="314">
        <v>3003.7492439999996</v>
      </c>
      <c r="N121" s="314">
        <v>3063.8242288799997</v>
      </c>
      <c r="O121" s="314">
        <v>3125.1007134575998</v>
      </c>
      <c r="P121" s="314">
        <v>3187.6027277267508</v>
      </c>
      <c r="Q121" s="314">
        <v>3251.3547822812861</v>
      </c>
      <c r="R121" s="314">
        <v>3316.3818779269122</v>
      </c>
      <c r="S121" s="314">
        <v>3382.7095154854505</v>
      </c>
      <c r="T121" s="314">
        <v>3450.3637057951587</v>
      </c>
      <c r="U121" s="314">
        <v>3519.3709799110625</v>
      </c>
      <c r="V121" s="314">
        <v>3589.7583995092837</v>
      </c>
      <c r="W121" s="314">
        <v>3661.5535674994694</v>
      </c>
      <c r="X121" s="314">
        <v>3734.7846388494581</v>
      </c>
      <c r="Y121" s="314">
        <v>3809.4803316264479</v>
      </c>
      <c r="Z121" s="314">
        <v>3885.6699382589773</v>
      </c>
      <c r="AA121" s="314">
        <v>3963.3833370241559</v>
      </c>
      <c r="AB121" s="314">
        <v>4042.651003764639</v>
      </c>
      <c r="AC121" s="314">
        <v>4123.5040238399324</v>
      </c>
      <c r="AD121" s="314">
        <v>4205.9741043167305</v>
      </c>
      <c r="AE121" s="314">
        <v>4290.0935864030653</v>
      </c>
      <c r="AF121" s="314">
        <v>4375.8954581311264</v>
      </c>
      <c r="AG121" s="314">
        <v>4463.4133672937487</v>
      </c>
      <c r="AH121" s="314">
        <v>4552.6816346396236</v>
      </c>
      <c r="AI121" s="314">
        <v>4643.7352673324167</v>
      </c>
      <c r="AJ121" s="314">
        <v>4736.6099726790644</v>
      </c>
      <c r="AK121" s="314">
        <v>4831.3421721326467</v>
      </c>
      <c r="AL121" s="314">
        <v>4927.9690155752987</v>
      </c>
    </row>
    <row r="122" spans="3:38">
      <c r="C122" s="412"/>
      <c r="E122" s="53" t="s">
        <v>553</v>
      </c>
      <c r="F122" s="313"/>
      <c r="G122" s="314"/>
      <c r="H122" s="314"/>
      <c r="I122" s="314">
        <v>0</v>
      </c>
      <c r="J122" s="314">
        <v>154.37496000000002</v>
      </c>
      <c r="K122" s="314">
        <v>157.46245920000001</v>
      </c>
      <c r="L122" s="314">
        <v>160.611708384</v>
      </c>
      <c r="M122" s="314">
        <v>163.82394255168001</v>
      </c>
      <c r="N122" s="314">
        <v>167.10042140271361</v>
      </c>
      <c r="O122" s="314">
        <v>170.44242983076791</v>
      </c>
      <c r="P122" s="314">
        <v>173.85127842738322</v>
      </c>
      <c r="Q122" s="314">
        <v>177.3283039959309</v>
      </c>
      <c r="R122" s="314">
        <v>180.87487007584951</v>
      </c>
      <c r="S122" s="314">
        <v>184.49236747736651</v>
      </c>
      <c r="T122" s="314">
        <v>188.18221482691382</v>
      </c>
      <c r="U122" s="314">
        <v>191.94585912345212</v>
      </c>
      <c r="V122" s="314">
        <v>195.78477630592116</v>
      </c>
      <c r="W122" s="314">
        <v>199.7004718320396</v>
      </c>
      <c r="X122" s="314">
        <v>203.69448126868033</v>
      </c>
      <c r="Y122" s="314">
        <v>207.76837089405396</v>
      </c>
      <c r="Z122" s="314">
        <v>211.92373831193507</v>
      </c>
      <c r="AA122" s="314">
        <v>216.16221307817375</v>
      </c>
      <c r="AB122" s="314">
        <v>220.48545733973722</v>
      </c>
      <c r="AC122" s="314">
        <v>224.89516648653196</v>
      </c>
      <c r="AD122" s="314">
        <v>229.3930698162626</v>
      </c>
      <c r="AE122" s="314">
        <v>233.98093121258788</v>
      </c>
      <c r="AF122" s="314">
        <v>238.66054983683958</v>
      </c>
      <c r="AG122" s="314">
        <v>243.43376083357637</v>
      </c>
      <c r="AH122" s="314">
        <v>248.30243605024791</v>
      </c>
      <c r="AI122" s="314">
        <v>253.2684847712529</v>
      </c>
      <c r="AJ122" s="314">
        <v>258.33385446667791</v>
      </c>
      <c r="AK122" s="314">
        <v>263.50053155601154</v>
      </c>
      <c r="AL122" s="314">
        <v>268.7705421871317</v>
      </c>
    </row>
    <row r="123" spans="3:38">
      <c r="C123" s="412"/>
      <c r="E123" s="53" t="s">
        <v>381</v>
      </c>
      <c r="F123" s="313"/>
      <c r="G123" s="314"/>
      <c r="H123" s="314"/>
      <c r="I123" s="314">
        <v>0</v>
      </c>
      <c r="J123" s="314">
        <v>0</v>
      </c>
      <c r="K123" s="314">
        <v>1574.6245919999999</v>
      </c>
      <c r="L123" s="314">
        <v>1606.1170838399999</v>
      </c>
      <c r="M123" s="314">
        <v>1638.2394255167999</v>
      </c>
      <c r="N123" s="314">
        <v>1671.004214027136</v>
      </c>
      <c r="O123" s="314">
        <v>1704.4242983076788</v>
      </c>
      <c r="P123" s="314">
        <v>1738.512784273832</v>
      </c>
      <c r="Q123" s="314">
        <v>1773.2830399593088</v>
      </c>
      <c r="R123" s="314">
        <v>1808.748700758495</v>
      </c>
      <c r="S123" s="314">
        <v>1844.923674773665</v>
      </c>
      <c r="T123" s="314">
        <v>1881.8221482691379</v>
      </c>
      <c r="U123" s="314">
        <v>1919.458591234521</v>
      </c>
      <c r="V123" s="314">
        <v>1957.8477630592113</v>
      </c>
      <c r="W123" s="314">
        <v>1997.0047183203958</v>
      </c>
      <c r="X123" s="314">
        <v>2036.9448126868031</v>
      </c>
      <c r="Y123" s="314">
        <v>2077.6837089405394</v>
      </c>
      <c r="Z123" s="314">
        <v>2119.2373831193504</v>
      </c>
      <c r="AA123" s="314">
        <v>2161.6221307817373</v>
      </c>
      <c r="AB123" s="314">
        <v>2204.854573397372</v>
      </c>
      <c r="AC123" s="314">
        <v>2248.9516648653198</v>
      </c>
      <c r="AD123" s="314">
        <v>2293.930698162626</v>
      </c>
      <c r="AE123" s="314">
        <v>2339.8093121258785</v>
      </c>
      <c r="AF123" s="314">
        <v>2386.6054983683957</v>
      </c>
      <c r="AG123" s="314">
        <v>2434.3376083357634</v>
      </c>
      <c r="AH123" s="314">
        <v>2483.0243605024789</v>
      </c>
      <c r="AI123" s="314">
        <v>2532.6848477125286</v>
      </c>
      <c r="AJ123" s="314">
        <v>2583.3385446667789</v>
      </c>
      <c r="AK123" s="314">
        <v>2635.0053155601149</v>
      </c>
      <c r="AL123" s="314">
        <v>2687.705421871317</v>
      </c>
    </row>
    <row r="124" spans="3:38">
      <c r="C124" s="412"/>
      <c r="E124" s="53" t="s">
        <v>410</v>
      </c>
      <c r="F124" s="313"/>
      <c r="G124" s="314"/>
      <c r="H124" s="314"/>
      <c r="I124" s="314">
        <v>1392.9408690761809</v>
      </c>
      <c r="J124" s="314">
        <v>3979.8310545033742</v>
      </c>
      <c r="K124" s="314">
        <v>3979.8310545033742</v>
      </c>
      <c r="L124" s="314">
        <v>3979.8310545033742</v>
      </c>
      <c r="M124" s="314">
        <v>3979.8310545033742</v>
      </c>
      <c r="N124" s="314">
        <v>3979.8310545033742</v>
      </c>
      <c r="O124" s="314">
        <v>3979.8310545033742</v>
      </c>
      <c r="P124" s="314">
        <v>3979.8310545033742</v>
      </c>
      <c r="Q124" s="314">
        <v>3979.8310545033742</v>
      </c>
      <c r="R124" s="314">
        <v>3979.8310545033742</v>
      </c>
      <c r="S124" s="314">
        <v>3979.8310545033742</v>
      </c>
      <c r="T124" s="314">
        <v>3979.8310545033742</v>
      </c>
      <c r="U124" s="314">
        <v>3979.8310545033742</v>
      </c>
      <c r="V124" s="314">
        <v>3979.8310545033742</v>
      </c>
      <c r="W124" s="314">
        <v>3979.8310545033742</v>
      </c>
      <c r="X124" s="314">
        <v>3979.8310545033742</v>
      </c>
      <c r="Y124" s="314">
        <v>3979.8310545033742</v>
      </c>
      <c r="Z124" s="314">
        <v>3979.8310545033742</v>
      </c>
      <c r="AA124" s="314">
        <v>3979.8310545033742</v>
      </c>
      <c r="AB124" s="314">
        <v>3979.8310545033742</v>
      </c>
      <c r="AC124" s="314">
        <v>3979.8310545033742</v>
      </c>
      <c r="AD124" s="314">
        <v>3979.8310545033742</v>
      </c>
      <c r="AE124" s="314">
        <v>3979.8310545033742</v>
      </c>
      <c r="AF124" s="314">
        <v>3979.8310545033742</v>
      </c>
      <c r="AG124" s="314">
        <v>3979.8310545033742</v>
      </c>
      <c r="AH124" s="314">
        <v>3979.8310545033742</v>
      </c>
      <c r="AI124" s="314">
        <v>3979.8310545033742</v>
      </c>
      <c r="AJ124" s="314">
        <v>3979.8310545033742</v>
      </c>
      <c r="AK124" s="314">
        <v>3979.8310545033742</v>
      </c>
      <c r="AL124" s="314">
        <v>3979.8310545033742</v>
      </c>
    </row>
    <row r="125" spans="3:38">
      <c r="C125" s="412"/>
      <c r="E125" s="53" t="s">
        <v>411</v>
      </c>
      <c r="F125" s="313"/>
      <c r="G125" s="314"/>
      <c r="H125" s="314"/>
      <c r="I125" s="314">
        <v>4178.8226072285424</v>
      </c>
      <c r="J125" s="314">
        <v>11939.493163510122</v>
      </c>
      <c r="K125" s="314">
        <v>11939.493163510122</v>
      </c>
      <c r="L125" s="314">
        <v>11939.493163510122</v>
      </c>
      <c r="M125" s="314">
        <v>11939.493163510122</v>
      </c>
      <c r="N125" s="314">
        <v>11939.493163510122</v>
      </c>
      <c r="O125" s="314">
        <v>11939.493163510122</v>
      </c>
      <c r="P125" s="314">
        <v>11939.493163510122</v>
      </c>
      <c r="Q125" s="314">
        <v>11939.493163510122</v>
      </c>
      <c r="R125" s="314">
        <v>11939.493163510122</v>
      </c>
      <c r="S125" s="314">
        <v>11939.493163510122</v>
      </c>
      <c r="T125" s="314">
        <v>11939.493163510122</v>
      </c>
      <c r="U125" s="314">
        <v>11939.493163510122</v>
      </c>
      <c r="V125" s="314">
        <v>11939.493163510122</v>
      </c>
      <c r="W125" s="314">
        <v>11939.493163510122</v>
      </c>
      <c r="X125" s="314">
        <v>11939.493163510122</v>
      </c>
      <c r="Y125" s="314">
        <v>11939.493163510122</v>
      </c>
      <c r="Z125" s="314">
        <v>11939.493163510122</v>
      </c>
      <c r="AA125" s="314">
        <v>11939.493163510122</v>
      </c>
      <c r="AB125" s="314">
        <v>11939.493163510122</v>
      </c>
      <c r="AC125" s="314">
        <v>11939.493163510122</v>
      </c>
      <c r="AD125" s="314">
        <v>11939.493163510122</v>
      </c>
      <c r="AE125" s="314">
        <v>11939.493163510122</v>
      </c>
      <c r="AF125" s="314">
        <v>11939.493163510122</v>
      </c>
      <c r="AG125" s="314">
        <v>11939.493163510122</v>
      </c>
      <c r="AH125" s="314">
        <v>11939.493163510122</v>
      </c>
      <c r="AI125" s="314">
        <v>11939.493163510122</v>
      </c>
      <c r="AJ125" s="314">
        <v>11939.493163510122</v>
      </c>
      <c r="AK125" s="314">
        <v>11939.493163510122</v>
      </c>
      <c r="AL125" s="314">
        <v>11939.493163510122</v>
      </c>
    </row>
    <row r="126" spans="3:38">
      <c r="C126" s="412"/>
      <c r="E126" s="53" t="s">
        <v>382</v>
      </c>
      <c r="F126" s="313"/>
      <c r="G126" s="314"/>
      <c r="H126" s="314"/>
      <c r="I126" s="314">
        <v>0</v>
      </c>
      <c r="J126" s="314">
        <v>562.79137651974008</v>
      </c>
      <c r="K126" s="314">
        <v>844.18706477961018</v>
      </c>
      <c r="L126" s="314">
        <v>1266.2805971694152</v>
      </c>
      <c r="M126" s="314">
        <v>1899.420895754123</v>
      </c>
      <c r="N126" s="314">
        <v>2089.3629853295351</v>
      </c>
      <c r="O126" s="314">
        <v>2089.3629853295351</v>
      </c>
      <c r="P126" s="314">
        <v>2089.3629853295351</v>
      </c>
      <c r="Q126" s="314">
        <v>2089.3629853295351</v>
      </c>
      <c r="R126" s="314">
        <v>2089.3629853295351</v>
      </c>
      <c r="S126" s="314">
        <v>2089.3629853295351</v>
      </c>
      <c r="T126" s="314">
        <v>2089.3629853295351</v>
      </c>
      <c r="U126" s="314">
        <v>2089.3629853295351</v>
      </c>
      <c r="V126" s="314">
        <v>2089.3629853295351</v>
      </c>
      <c r="W126" s="314">
        <v>2089.3629853295351</v>
      </c>
      <c r="X126" s="314">
        <v>2089.3629853295351</v>
      </c>
      <c r="Y126" s="314">
        <v>2089.3629853295351</v>
      </c>
      <c r="Z126" s="314">
        <v>2089.3629853295351</v>
      </c>
      <c r="AA126" s="314">
        <v>2089.3629853295351</v>
      </c>
      <c r="AB126" s="314">
        <v>2089.3629853295351</v>
      </c>
      <c r="AC126" s="314">
        <v>2089.3629853295351</v>
      </c>
      <c r="AD126" s="314">
        <v>2089.3629853295351</v>
      </c>
      <c r="AE126" s="314">
        <v>2089.3629853295351</v>
      </c>
      <c r="AF126" s="314">
        <v>2089.3629853295351</v>
      </c>
      <c r="AG126" s="314">
        <v>2089.3629853295351</v>
      </c>
      <c r="AH126" s="314">
        <v>2089.3629853295351</v>
      </c>
      <c r="AI126" s="314">
        <v>2089.3629853295351</v>
      </c>
      <c r="AJ126" s="314">
        <v>2089.3629853295351</v>
      </c>
      <c r="AK126" s="314">
        <v>2089.3629853295351</v>
      </c>
      <c r="AL126" s="314">
        <v>2089.3629853295351</v>
      </c>
    </row>
    <row r="127" spans="3:38">
      <c r="C127" s="412"/>
      <c r="E127" s="53" t="s">
        <v>383</v>
      </c>
      <c r="F127" s="313"/>
      <c r="G127" s="314"/>
      <c r="H127" s="314"/>
      <c r="I127" s="314">
        <v>0</v>
      </c>
      <c r="J127" s="314">
        <v>0</v>
      </c>
      <c r="K127" s="314">
        <v>4813.4296552483793</v>
      </c>
      <c r="L127" s="314">
        <v>9025.1806035907121</v>
      </c>
      <c r="M127" s="314">
        <v>12033.57413812095</v>
      </c>
      <c r="N127" s="314">
        <v>12635.252845026997</v>
      </c>
      <c r="O127" s="314">
        <v>13267.015487278346</v>
      </c>
      <c r="P127" s="314">
        <v>13930.366261642264</v>
      </c>
      <c r="Q127" s="314">
        <v>14626.884574724378</v>
      </c>
      <c r="R127" s="314">
        <v>14626.884574724378</v>
      </c>
      <c r="S127" s="314">
        <v>14626.884574724378</v>
      </c>
      <c r="T127" s="314">
        <v>14626.884574724378</v>
      </c>
      <c r="U127" s="314">
        <v>14626.884574724378</v>
      </c>
      <c r="V127" s="314">
        <v>14626.884574724378</v>
      </c>
      <c r="W127" s="314">
        <v>14626.884574724378</v>
      </c>
      <c r="X127" s="314">
        <v>14626.884574724378</v>
      </c>
      <c r="Y127" s="314">
        <v>14626.884574724378</v>
      </c>
      <c r="Z127" s="314">
        <v>14626.884574724378</v>
      </c>
      <c r="AA127" s="314">
        <v>14626.884574724378</v>
      </c>
      <c r="AB127" s="314">
        <v>14626.884574724378</v>
      </c>
      <c r="AC127" s="314">
        <v>14626.884574724378</v>
      </c>
      <c r="AD127" s="314">
        <v>14626.884574724378</v>
      </c>
      <c r="AE127" s="314">
        <v>14626.884574724378</v>
      </c>
      <c r="AF127" s="314">
        <v>14626.884574724378</v>
      </c>
      <c r="AG127" s="314">
        <v>14626.884574724378</v>
      </c>
      <c r="AH127" s="314">
        <v>14626.884574724378</v>
      </c>
      <c r="AI127" s="314">
        <v>14626.884574724378</v>
      </c>
      <c r="AJ127" s="314">
        <v>14626.884574724378</v>
      </c>
      <c r="AK127" s="314">
        <v>14626.884574724378</v>
      </c>
      <c r="AL127" s="314">
        <v>14626.884574724378</v>
      </c>
    </row>
    <row r="128" spans="3:38">
      <c r="C128" s="412"/>
      <c r="E128" s="52" t="s">
        <v>224</v>
      </c>
      <c r="F128" s="311"/>
      <c r="G128" s="312"/>
      <c r="H128" s="312"/>
      <c r="I128" s="312">
        <v>10137.679549208744</v>
      </c>
      <c r="J128" s="312">
        <v>24465.109838606455</v>
      </c>
      <c r="K128" s="312">
        <v>31329.5434518369</v>
      </c>
      <c r="L128" s="312">
        <v>36194.823489470895</v>
      </c>
      <c r="M128" s="312">
        <v>40073.513095824521</v>
      </c>
      <c r="N128" s="312">
        <v>41108.157031364179</v>
      </c>
      <c r="O128" s="312">
        <v>41988.961253320267</v>
      </c>
      <c r="P128" s="312">
        <v>42907.527156184369</v>
      </c>
      <c r="Q128" s="312">
        <v>43865.593399054058</v>
      </c>
      <c r="R128" s="312">
        <v>44133.637641116286</v>
      </c>
      <c r="S128" s="312">
        <v>44408.346082309035</v>
      </c>
      <c r="T128" s="312">
        <v>44689.891106043593</v>
      </c>
      <c r="U128" s="312">
        <v>44978.44971638234</v>
      </c>
      <c r="V128" s="312">
        <v>45274.203665641231</v>
      </c>
      <c r="W128" s="312">
        <v>45577.339585600079</v>
      </c>
      <c r="X128" s="312">
        <v>45888.049122424323</v>
      </c>
      <c r="Y128" s="312">
        <v>46206.529075405262</v>
      </c>
      <c r="Z128" s="312">
        <v>46532.981539628636</v>
      </c>
      <c r="AA128" s="312">
        <v>46867.614052684781</v>
      </c>
      <c r="AB128" s="312">
        <v>47210.639745536784</v>
      </c>
      <c r="AC128" s="312">
        <v>47562.277497666626</v>
      </c>
      <c r="AD128" s="312">
        <v>47922.752096622477</v>
      </c>
      <c r="AE128" s="312">
        <v>48292.294402094361</v>
      </c>
      <c r="AF128" s="312">
        <v>48671.141514648698</v>
      </c>
      <c r="AG128" s="312">
        <v>49059.536949256348</v>
      </c>
      <c r="AH128" s="312">
        <v>49457.730813752423</v>
      </c>
      <c r="AI128" s="312">
        <v>49865.979992370594</v>
      </c>
      <c r="AJ128" s="312">
        <v>50284.548334498264</v>
      </c>
      <c r="AK128" s="312">
        <v>50713.706848803733</v>
      </c>
      <c r="AL128" s="312">
        <v>51153.733902890606</v>
      </c>
    </row>
    <row r="129" spans="1:40" ht="3.75" customHeight="1">
      <c r="E129" s="67"/>
      <c r="F129" s="341"/>
      <c r="G129" s="342"/>
      <c r="H129" s="342"/>
      <c r="I129" s="342"/>
      <c r="J129" s="342"/>
      <c r="K129" s="342"/>
      <c r="L129" s="342"/>
      <c r="M129" s="342"/>
      <c r="N129" s="342"/>
      <c r="O129" s="342"/>
      <c r="P129" s="342"/>
      <c r="Q129" s="342"/>
      <c r="R129" s="342"/>
      <c r="S129" s="342"/>
      <c r="T129" s="342"/>
      <c r="U129" s="342"/>
      <c r="V129" s="342"/>
      <c r="W129" s="342"/>
      <c r="X129" s="342"/>
      <c r="Y129" s="342"/>
      <c r="Z129" s="342"/>
      <c r="AA129" s="342"/>
      <c r="AB129" s="342"/>
      <c r="AC129" s="342"/>
      <c r="AD129" s="342"/>
      <c r="AE129" s="342"/>
      <c r="AF129" s="342"/>
      <c r="AG129" s="342"/>
      <c r="AH129" s="342"/>
      <c r="AI129" s="342"/>
      <c r="AJ129" s="342"/>
      <c r="AK129" s="342"/>
      <c r="AL129" s="342"/>
    </row>
    <row r="130" spans="1:40">
      <c r="C130" s="51"/>
      <c r="E130" s="68" t="s">
        <v>225</v>
      </c>
      <c r="F130" s="343">
        <v>0</v>
      </c>
      <c r="G130" s="344">
        <v>0</v>
      </c>
      <c r="H130" s="344">
        <v>0</v>
      </c>
      <c r="I130" s="344">
        <v>17347.780047583139</v>
      </c>
      <c r="J130" s="344">
        <v>39923.175998296676</v>
      </c>
      <c r="K130" s="344">
        <v>50968.144792294275</v>
      </c>
      <c r="L130" s="344">
        <v>58641.63469230917</v>
      </c>
      <c r="M130" s="344">
        <v>64597.753158304833</v>
      </c>
      <c r="N130" s="344">
        <v>65931.142609980277</v>
      </c>
      <c r="O130" s="344">
        <v>66604.346867465967</v>
      </c>
      <c r="P130" s="344">
        <v>67301.22644226889</v>
      </c>
      <c r="Q130" s="344">
        <v>68047.844591710862</v>
      </c>
      <c r="R130" s="344">
        <v>67829.302130225231</v>
      </c>
      <c r="S130" s="344">
        <v>67552.139323602954</v>
      </c>
      <c r="T130" s="344">
        <v>67297.648707619155</v>
      </c>
      <c r="U130" s="344">
        <v>67064.887727082329</v>
      </c>
      <c r="V130" s="344">
        <v>66853.001737983315</v>
      </c>
      <c r="W130" s="344">
        <v>66661.217755935766</v>
      </c>
      <c r="X130" s="344">
        <v>66488.838774650765</v>
      </c>
      <c r="Y130" s="344">
        <v>66335.238603650389</v>
      </c>
      <c r="Z130" s="344">
        <v>66199.857179478888</v>
      </c>
      <c r="AA130" s="344">
        <v>66082.19630921373</v>
      </c>
      <c r="AB130" s="344">
        <v>65981.815809168911</v>
      </c>
      <c r="AC130" s="344">
        <v>65898.330005366093</v>
      </c>
      <c r="AD130" s="344">
        <v>65831.404565673642</v>
      </c>
      <c r="AE130" s="344">
        <v>65780.753636511567</v>
      </c>
      <c r="AF130" s="344">
        <v>65746.137259735639</v>
      </c>
      <c r="AG130" s="344">
        <v>65727.359047768012</v>
      </c>
      <c r="AH130" s="344">
        <v>65724.264097271749</v>
      </c>
      <c r="AI130" s="344">
        <v>65736.737123686878</v>
      </c>
      <c r="AJ130" s="344">
        <v>65764.700800792445</v>
      </c>
      <c r="AK130" s="344">
        <v>65808.11429113608</v>
      </c>
      <c r="AL130" s="344">
        <v>65869.800010493404</v>
      </c>
    </row>
    <row r="131" spans="1:40" s="70" customFormat="1" ht="14.25" thickBot="1">
      <c r="A131" s="69"/>
      <c r="C131" s="51"/>
      <c r="E131" s="71" t="s">
        <v>226</v>
      </c>
      <c r="F131" s="72"/>
      <c r="G131" s="73"/>
      <c r="H131" s="73"/>
      <c r="I131" s="73">
        <v>0.41591255556370982</v>
      </c>
      <c r="J131" s="73">
        <v>0.37942944465806749</v>
      </c>
      <c r="K131" s="73">
        <v>0.39890269537623985</v>
      </c>
      <c r="L131" s="73">
        <v>0.40881728038407322</v>
      </c>
      <c r="M131" s="73">
        <v>0.41541105959128088</v>
      </c>
      <c r="N131" s="73">
        <v>0.41800121036324356</v>
      </c>
      <c r="O131" s="73">
        <v>0.41929401165402846</v>
      </c>
      <c r="P131" s="73">
        <v>0.42054750403337532</v>
      </c>
      <c r="Q131" s="73">
        <v>0.42182707774452044</v>
      </c>
      <c r="R131" s="73">
        <v>0.42259908526205975</v>
      </c>
      <c r="S131" s="73">
        <v>0.42315926628669215</v>
      </c>
      <c r="T131" s="73">
        <v>0.42375219292874067</v>
      </c>
      <c r="U131" s="73">
        <v>0.42437733331104738</v>
      </c>
      <c r="V131" s="73">
        <v>0.42503419099437251</v>
      </c>
      <c r="W131" s="73">
        <v>0.42572230277826661</v>
      </c>
      <c r="X131" s="73">
        <v>0.42644123641554488</v>
      </c>
      <c r="Y131" s="73">
        <v>0.42719058825807582</v>
      </c>
      <c r="Z131" s="73">
        <v>0.42796998084844501</v>
      </c>
      <c r="AA131" s="73">
        <v>0.42877906046931513</v>
      </c>
      <c r="AB131" s="73">
        <v>0.4296174946599351</v>
      </c>
      <c r="AC131" s="73">
        <v>0.43048496970722444</v>
      </c>
      <c r="AD131" s="73">
        <v>0.43138118811714815</v>
      </c>
      <c r="AE131" s="73">
        <v>0.43230586607065213</v>
      </c>
      <c r="AF131" s="73">
        <v>0.43325873086725458</v>
      </c>
      <c r="AG131" s="73">
        <v>0.4342395183584255</v>
      </c>
      <c r="AH131" s="73">
        <v>0.43524797037214291</v>
      </c>
      <c r="AI131" s="73">
        <v>0.4362838321294305</v>
      </c>
      <c r="AJ131" s="73">
        <v>0.43734684965330017</v>
      </c>
      <c r="AK131" s="73">
        <v>0.43843676717024899</v>
      </c>
      <c r="AL131" s="73">
        <v>0.43955491472123476</v>
      </c>
      <c r="AN131" s="69"/>
    </row>
    <row r="132" spans="1:40" ht="3.75" customHeight="1">
      <c r="E132" s="74"/>
      <c r="F132" s="75"/>
      <c r="G132" s="76"/>
      <c r="H132" s="76"/>
      <c r="I132" s="76"/>
      <c r="J132" s="76"/>
      <c r="K132" s="76"/>
      <c r="L132" s="76"/>
      <c r="M132" s="76"/>
      <c r="N132" s="76"/>
      <c r="O132" s="76"/>
      <c r="P132" s="76"/>
      <c r="Q132" s="76"/>
      <c r="R132" s="76"/>
      <c r="S132" s="76"/>
      <c r="T132" s="76"/>
      <c r="U132" s="76"/>
      <c r="V132" s="76"/>
      <c r="W132" s="76"/>
      <c r="X132" s="76"/>
      <c r="Y132" s="76"/>
      <c r="Z132" s="76"/>
      <c r="AA132" s="76"/>
      <c r="AB132" s="76"/>
      <c r="AC132" s="76"/>
      <c r="AD132" s="76"/>
      <c r="AE132" s="76"/>
      <c r="AF132" s="76"/>
      <c r="AG132" s="76"/>
      <c r="AH132" s="76"/>
      <c r="AI132" s="76"/>
      <c r="AJ132" s="76"/>
      <c r="AK132" s="76"/>
      <c r="AL132" s="76"/>
    </row>
    <row r="133" spans="1:40">
      <c r="C133" s="412"/>
      <c r="E133" s="53" t="s">
        <v>227</v>
      </c>
      <c r="F133" s="311"/>
      <c r="G133" s="345">
        <v>113.57337059212044</v>
      </c>
      <c r="H133" s="312">
        <v>350.9417151296521</v>
      </c>
      <c r="I133" s="345">
        <v>1204.8998886118056</v>
      </c>
      <c r="J133" s="314">
        <v>1241.0468852701599</v>
      </c>
      <c r="K133" s="314">
        <v>1329.8390545878729</v>
      </c>
      <c r="L133" s="314">
        <v>1369.7342262255092</v>
      </c>
      <c r="M133" s="314">
        <v>1410.8262530122743</v>
      </c>
      <c r="N133" s="314">
        <v>1453.1510406026425</v>
      </c>
      <c r="O133" s="314">
        <v>1496.7455718207218</v>
      </c>
      <c r="P133" s="314">
        <v>1541.6479389753435</v>
      </c>
      <c r="Q133" s="314">
        <v>1587.8973771446038</v>
      </c>
      <c r="R133" s="314">
        <v>1635.534298458942</v>
      </c>
      <c r="S133" s="314">
        <v>1684.6003274127102</v>
      </c>
      <c r="T133" s="314">
        <v>1735.1383372350915</v>
      </c>
      <c r="U133" s="314">
        <v>1787.1924873521439</v>
      </c>
      <c r="V133" s="314">
        <v>1840.8082619727081</v>
      </c>
      <c r="W133" s="314">
        <v>1896.0325098318897</v>
      </c>
      <c r="X133" s="314">
        <v>1952.9134851268464</v>
      </c>
      <c r="Y133" s="314">
        <v>2011.5008896806514</v>
      </c>
      <c r="Z133" s="314">
        <v>2071.8459163710709</v>
      </c>
      <c r="AA133" s="314">
        <v>2134.0012938622031</v>
      </c>
      <c r="AB133" s="314">
        <v>2198.021332678069</v>
      </c>
      <c r="AC133" s="314">
        <v>2263.9619726584115</v>
      </c>
      <c r="AD133" s="314">
        <v>2331.8808318381634</v>
      </c>
      <c r="AE133" s="314">
        <v>2401.8372567933084</v>
      </c>
      <c r="AF133" s="314">
        <v>2473.892374497108</v>
      </c>
      <c r="AG133" s="314">
        <v>2548.1091457320208</v>
      </c>
      <c r="AH133" s="314">
        <v>2624.5524201039811</v>
      </c>
      <c r="AI133" s="314">
        <v>2703.288992707101</v>
      </c>
      <c r="AJ133" s="314">
        <v>2784.3876624883137</v>
      </c>
      <c r="AK133" s="314">
        <v>2867.919292362963</v>
      </c>
      <c r="AL133" s="314">
        <v>2953.956871133852</v>
      </c>
    </row>
    <row r="134" spans="1:40">
      <c r="C134" s="412"/>
      <c r="E134" s="53" t="s">
        <v>228</v>
      </c>
      <c r="F134" s="313"/>
      <c r="G134" s="314"/>
      <c r="H134" s="314"/>
      <c r="I134" s="314">
        <v>1684.6</v>
      </c>
      <c r="J134" s="314">
        <v>1718.2919999999999</v>
      </c>
      <c r="K134" s="314">
        <v>1752.6578399999999</v>
      </c>
      <c r="L134" s="314">
        <v>1787.7109967999997</v>
      </c>
      <c r="M134" s="314">
        <v>1823.4652167359998</v>
      </c>
      <c r="N134" s="314">
        <v>1859.9345210707199</v>
      </c>
      <c r="O134" s="314">
        <v>1897.1332114921345</v>
      </c>
      <c r="P134" s="314">
        <v>1935.0758757219767</v>
      </c>
      <c r="Q134" s="314">
        <v>1973.7773932364164</v>
      </c>
      <c r="R134" s="314">
        <v>2013.2529411011446</v>
      </c>
      <c r="S134" s="314">
        <v>2053.5179999231677</v>
      </c>
      <c r="T134" s="314">
        <v>2094.5883599216309</v>
      </c>
      <c r="U134" s="314">
        <v>2136.4801271200636</v>
      </c>
      <c r="V134" s="314">
        <v>2179.2097296624647</v>
      </c>
      <c r="W134" s="314">
        <v>2222.7939242557145</v>
      </c>
      <c r="X134" s="314">
        <v>2267.2498027408278</v>
      </c>
      <c r="Y134" s="314">
        <v>2312.5947987956447</v>
      </c>
      <c r="Z134" s="314">
        <v>2358.8466947715578</v>
      </c>
      <c r="AA134" s="314">
        <v>2406.0236286669888</v>
      </c>
      <c r="AB134" s="314">
        <v>2454.1441012403284</v>
      </c>
      <c r="AC134" s="314">
        <v>2503.2269832651355</v>
      </c>
      <c r="AD134" s="314">
        <v>2553.2915229304381</v>
      </c>
      <c r="AE134" s="314">
        <v>2604.3573533890467</v>
      </c>
      <c r="AF134" s="314">
        <v>2656.4445004568274</v>
      </c>
      <c r="AG134" s="314">
        <v>2709.5733904659642</v>
      </c>
      <c r="AH134" s="314">
        <v>2763.7648582752831</v>
      </c>
      <c r="AI134" s="314">
        <v>2819.040155440789</v>
      </c>
      <c r="AJ134" s="314">
        <v>2875.4209585496046</v>
      </c>
      <c r="AK134" s="314">
        <v>2932.9293777205971</v>
      </c>
      <c r="AL134" s="314">
        <v>2991.5879652750086</v>
      </c>
    </row>
    <row r="135" spans="1:40">
      <c r="C135" s="412"/>
      <c r="E135" s="53" t="s">
        <v>412</v>
      </c>
      <c r="F135" s="313">
        <v>0</v>
      </c>
      <c r="G135" s="314">
        <v>0</v>
      </c>
      <c r="H135" s="314">
        <v>300.14211666666665</v>
      </c>
      <c r="I135" s="314">
        <v>306.14495899999997</v>
      </c>
      <c r="J135" s="314">
        <v>312.26785817999996</v>
      </c>
      <c r="K135" s="314">
        <v>318.5132153436</v>
      </c>
      <c r="L135" s="314">
        <v>324.88347965047194</v>
      </c>
      <c r="M135" s="314">
        <v>331.38114924348139</v>
      </c>
      <c r="N135" s="314">
        <v>338.00877222835106</v>
      </c>
      <c r="O135" s="314">
        <v>344.7689476729181</v>
      </c>
      <c r="P135" s="314">
        <v>351.66432662637635</v>
      </c>
      <c r="Q135" s="314">
        <v>358.69761315890395</v>
      </c>
      <c r="R135" s="314">
        <v>365.87156542208203</v>
      </c>
      <c r="S135" s="314">
        <v>373.18899673052368</v>
      </c>
      <c r="T135" s="314">
        <v>380.65277666513407</v>
      </c>
      <c r="U135" s="314">
        <v>388.26583219843678</v>
      </c>
      <c r="V135" s="314">
        <v>396.03114884240551</v>
      </c>
      <c r="W135" s="314">
        <v>403.95177181925368</v>
      </c>
      <c r="X135" s="314">
        <v>412.03080725563865</v>
      </c>
      <c r="Y135" s="314">
        <v>420.27142340075147</v>
      </c>
      <c r="Z135" s="314">
        <v>428.67685186876656</v>
      </c>
      <c r="AA135" s="314">
        <v>437.25038890614184</v>
      </c>
      <c r="AB135" s="314">
        <v>445.99539668426462</v>
      </c>
      <c r="AC135" s="314">
        <v>454.91530461794997</v>
      </c>
      <c r="AD135" s="314">
        <v>464.01361071030897</v>
      </c>
      <c r="AE135" s="314">
        <v>473.29388292451517</v>
      </c>
      <c r="AF135" s="314">
        <v>482.75976058300535</v>
      </c>
      <c r="AG135" s="314">
        <v>492.4149557946655</v>
      </c>
      <c r="AH135" s="314">
        <v>502.26325491055883</v>
      </c>
      <c r="AI135" s="314">
        <v>512.30852000877007</v>
      </c>
      <c r="AJ135" s="314">
        <v>522.55469040894536</v>
      </c>
      <c r="AK135" s="314">
        <v>533.00578421712441</v>
      </c>
      <c r="AL135" s="314">
        <v>543.66589990146679</v>
      </c>
    </row>
    <row r="136" spans="1:40">
      <c r="C136" s="412"/>
      <c r="E136" s="53" t="s">
        <v>229</v>
      </c>
      <c r="F136" s="313">
        <v>0</v>
      </c>
      <c r="G136" s="314">
        <v>0</v>
      </c>
      <c r="H136" s="314">
        <v>0</v>
      </c>
      <c r="I136" s="314">
        <v>0</v>
      </c>
      <c r="J136" s="314">
        <v>0</v>
      </c>
      <c r="K136" s="314">
        <v>0</v>
      </c>
      <c r="L136" s="314">
        <v>0</v>
      </c>
      <c r="M136" s="314">
        <v>0</v>
      </c>
      <c r="N136" s="314">
        <v>0</v>
      </c>
      <c r="O136" s="314">
        <v>0</v>
      </c>
      <c r="P136" s="314">
        <v>0</v>
      </c>
      <c r="Q136" s="314">
        <v>0</v>
      </c>
      <c r="R136" s="314">
        <v>0</v>
      </c>
      <c r="S136" s="314">
        <v>0</v>
      </c>
      <c r="T136" s="314">
        <v>0</v>
      </c>
      <c r="U136" s="314">
        <v>0</v>
      </c>
      <c r="V136" s="314">
        <v>0</v>
      </c>
      <c r="W136" s="314">
        <v>0</v>
      </c>
      <c r="X136" s="314">
        <v>0</v>
      </c>
      <c r="Y136" s="314">
        <v>0</v>
      </c>
      <c r="Z136" s="314">
        <v>0</v>
      </c>
      <c r="AA136" s="314">
        <v>0</v>
      </c>
      <c r="AB136" s="314">
        <v>0</v>
      </c>
      <c r="AC136" s="314">
        <v>0</v>
      </c>
      <c r="AD136" s="314">
        <v>0</v>
      </c>
      <c r="AE136" s="314">
        <v>0</v>
      </c>
      <c r="AF136" s="314">
        <v>0</v>
      </c>
      <c r="AG136" s="314">
        <v>0</v>
      </c>
      <c r="AH136" s="314">
        <v>0</v>
      </c>
      <c r="AI136" s="314">
        <v>0</v>
      </c>
      <c r="AJ136" s="314">
        <v>0</v>
      </c>
      <c r="AK136" s="314">
        <v>0</v>
      </c>
      <c r="AL136" s="314">
        <v>0</v>
      </c>
    </row>
    <row r="137" spans="1:40">
      <c r="C137" s="412"/>
      <c r="E137" s="53" t="s">
        <v>230</v>
      </c>
      <c r="F137" s="313">
        <v>0</v>
      </c>
      <c r="G137" s="345">
        <v>0</v>
      </c>
      <c r="H137" s="314">
        <v>0</v>
      </c>
      <c r="I137" s="345">
        <v>0</v>
      </c>
      <c r="J137" s="345">
        <v>0</v>
      </c>
      <c r="K137" s="345">
        <v>0</v>
      </c>
      <c r="L137" s="345">
        <v>0</v>
      </c>
      <c r="M137" s="345">
        <v>0</v>
      </c>
      <c r="N137" s="314">
        <v>0</v>
      </c>
      <c r="O137" s="314">
        <v>0</v>
      </c>
      <c r="P137" s="314">
        <v>0</v>
      </c>
      <c r="Q137" s="314">
        <v>0</v>
      </c>
      <c r="R137" s="314">
        <v>0</v>
      </c>
      <c r="S137" s="314">
        <v>0</v>
      </c>
      <c r="T137" s="314">
        <v>0</v>
      </c>
      <c r="U137" s="314">
        <v>0</v>
      </c>
      <c r="V137" s="314">
        <v>0</v>
      </c>
      <c r="W137" s="314">
        <v>0</v>
      </c>
      <c r="X137" s="314">
        <v>0</v>
      </c>
      <c r="Y137" s="314">
        <v>0</v>
      </c>
      <c r="Z137" s="314">
        <v>0</v>
      </c>
      <c r="AA137" s="314">
        <v>0</v>
      </c>
      <c r="AB137" s="314">
        <v>0</v>
      </c>
      <c r="AC137" s="314">
        <v>0</v>
      </c>
      <c r="AD137" s="314">
        <v>0</v>
      </c>
      <c r="AE137" s="314">
        <v>0</v>
      </c>
      <c r="AF137" s="314">
        <v>0</v>
      </c>
      <c r="AG137" s="314">
        <v>0</v>
      </c>
      <c r="AH137" s="314">
        <v>0</v>
      </c>
      <c r="AI137" s="314">
        <v>0</v>
      </c>
      <c r="AJ137" s="314">
        <v>0</v>
      </c>
      <c r="AK137" s="314">
        <v>0</v>
      </c>
      <c r="AL137" s="314">
        <v>0</v>
      </c>
    </row>
    <row r="138" spans="1:40">
      <c r="C138" s="412"/>
      <c r="E138" s="52" t="s">
        <v>193</v>
      </c>
      <c r="F138" s="311">
        <v>0</v>
      </c>
      <c r="G138" s="312">
        <v>113.57337059212044</v>
      </c>
      <c r="H138" s="312">
        <v>651.08383179631869</v>
      </c>
      <c r="I138" s="312">
        <v>3195.6448476118057</v>
      </c>
      <c r="J138" s="312">
        <v>3271.6067434501601</v>
      </c>
      <c r="K138" s="312">
        <v>3401.0101099314725</v>
      </c>
      <c r="L138" s="312">
        <v>3482.3287026759813</v>
      </c>
      <c r="M138" s="312">
        <v>3565.6726189917554</v>
      </c>
      <c r="N138" s="312">
        <v>3651.0943339017135</v>
      </c>
      <c r="O138" s="312">
        <v>3738.6477309857746</v>
      </c>
      <c r="P138" s="312">
        <v>3828.3881413236968</v>
      </c>
      <c r="Q138" s="312">
        <v>3920.3723835399242</v>
      </c>
      <c r="R138" s="312">
        <v>4014.6588049821685</v>
      </c>
      <c r="S138" s="312">
        <v>4111.3073240664016</v>
      </c>
      <c r="T138" s="312">
        <v>4210.3794738218567</v>
      </c>
      <c r="U138" s="312">
        <v>4311.9384466706442</v>
      </c>
      <c r="V138" s="312">
        <v>4416.0491404775785</v>
      </c>
      <c r="W138" s="312">
        <v>4522.7782059068577</v>
      </c>
      <c r="X138" s="312">
        <v>4632.1940951233128</v>
      </c>
      <c r="Y138" s="312">
        <v>4744.367111877048</v>
      </c>
      <c r="Z138" s="312">
        <v>4859.369463011396</v>
      </c>
      <c r="AA138" s="312">
        <v>4977.2753114353336</v>
      </c>
      <c r="AB138" s="312">
        <v>5098.1608306026619</v>
      </c>
      <c r="AC138" s="312">
        <v>5222.1042605414968</v>
      </c>
      <c r="AD138" s="312">
        <v>5349.1859654789105</v>
      </c>
      <c r="AE138" s="312">
        <v>5479.48849310687</v>
      </c>
      <c r="AF138" s="312">
        <v>5613.0966355369401</v>
      </c>
      <c r="AG138" s="312">
        <v>5750.0974919926502</v>
      </c>
      <c r="AH138" s="312">
        <v>5890.5805332898235</v>
      </c>
      <c r="AI138" s="312">
        <v>6034.6376681566599</v>
      </c>
      <c r="AJ138" s="312">
        <v>6182.3633114468639</v>
      </c>
      <c r="AK138" s="312">
        <v>6333.8544543006847</v>
      </c>
      <c r="AL138" s="312">
        <v>6489.2107363103278</v>
      </c>
    </row>
    <row r="139" spans="1:40" ht="3.75" customHeight="1">
      <c r="E139" s="67"/>
      <c r="F139" s="341"/>
      <c r="G139" s="342"/>
      <c r="H139" s="342"/>
      <c r="I139" s="342"/>
      <c r="J139" s="342"/>
      <c r="K139" s="342"/>
      <c r="L139" s="342"/>
      <c r="M139" s="342"/>
      <c r="N139" s="342"/>
      <c r="O139" s="342"/>
      <c r="P139" s="342"/>
      <c r="Q139" s="342"/>
      <c r="R139" s="342"/>
      <c r="S139" s="342"/>
      <c r="T139" s="342"/>
      <c r="U139" s="342"/>
      <c r="V139" s="342"/>
      <c r="W139" s="342"/>
      <c r="X139" s="342"/>
      <c r="Y139" s="342"/>
      <c r="Z139" s="342"/>
      <c r="AA139" s="342"/>
      <c r="AB139" s="342"/>
      <c r="AC139" s="342"/>
      <c r="AD139" s="342"/>
      <c r="AE139" s="342"/>
      <c r="AF139" s="342"/>
      <c r="AG139" s="342"/>
      <c r="AH139" s="342"/>
      <c r="AI139" s="342"/>
      <c r="AJ139" s="342"/>
      <c r="AK139" s="342"/>
      <c r="AL139" s="342"/>
    </row>
    <row r="140" spans="1:40" ht="14.25" thickBot="1">
      <c r="C140" s="51"/>
      <c r="E140" s="77" t="s">
        <v>81</v>
      </c>
      <c r="F140" s="346">
        <v>0</v>
      </c>
      <c r="G140" s="347">
        <v>-113.57337059212044</v>
      </c>
      <c r="H140" s="347">
        <v>-651.08383179631869</v>
      </c>
      <c r="I140" s="347">
        <v>14152.135199971333</v>
      </c>
      <c r="J140" s="347">
        <v>36651.569254846516</v>
      </c>
      <c r="K140" s="347">
        <v>47567.134682362805</v>
      </c>
      <c r="L140" s="347">
        <v>55159.305989633191</v>
      </c>
      <c r="M140" s="347">
        <v>61032.080539313079</v>
      </c>
      <c r="N140" s="347">
        <v>62280.048276078567</v>
      </c>
      <c r="O140" s="347">
        <v>62865.699136480194</v>
      </c>
      <c r="P140" s="347">
        <v>63472.838300945194</v>
      </c>
      <c r="Q140" s="347">
        <v>64127.472208170941</v>
      </c>
      <c r="R140" s="347">
        <v>63814.643325243065</v>
      </c>
      <c r="S140" s="347">
        <v>63440.831999536553</v>
      </c>
      <c r="T140" s="347">
        <v>63087.269233797299</v>
      </c>
      <c r="U140" s="347">
        <v>62752.949280411682</v>
      </c>
      <c r="V140" s="347">
        <v>62436.952597505733</v>
      </c>
      <c r="W140" s="347">
        <v>62138.43955002891</v>
      </c>
      <c r="X140" s="347">
        <v>61856.644679527453</v>
      </c>
      <c r="Y140" s="347">
        <v>61590.871491773338</v>
      </c>
      <c r="Z140" s="347">
        <v>61340.487716467491</v>
      </c>
      <c r="AA140" s="347">
        <v>61104.920997778398</v>
      </c>
      <c r="AB140" s="347">
        <v>60883.65497856625</v>
      </c>
      <c r="AC140" s="347">
        <v>60676.225744824595</v>
      </c>
      <c r="AD140" s="347">
        <v>60482.218600194734</v>
      </c>
      <c r="AE140" s="347">
        <v>60301.2651434047</v>
      </c>
      <c r="AF140" s="347">
        <v>60133.0406241987</v>
      </c>
      <c r="AG140" s="347">
        <v>59977.26155577536</v>
      </c>
      <c r="AH140" s="347">
        <v>59833.683563981926</v>
      </c>
      <c r="AI140" s="347">
        <v>59702.099455530217</v>
      </c>
      <c r="AJ140" s="347">
        <v>59582.337489345584</v>
      </c>
      <c r="AK140" s="347">
        <v>59474.259836835394</v>
      </c>
      <c r="AL140" s="347">
        <v>59380.589274183076</v>
      </c>
    </row>
    <row r="141" spans="1:40" ht="3.75" customHeight="1">
      <c r="E141" s="61"/>
      <c r="F141" s="348"/>
      <c r="G141" s="349"/>
      <c r="H141" s="349"/>
      <c r="I141" s="349"/>
      <c r="J141" s="349"/>
      <c r="K141" s="349"/>
      <c r="L141" s="349"/>
      <c r="M141" s="349"/>
      <c r="N141" s="349"/>
      <c r="O141" s="349"/>
      <c r="P141" s="349"/>
      <c r="Q141" s="349"/>
      <c r="R141" s="349"/>
      <c r="S141" s="349"/>
      <c r="T141" s="349"/>
      <c r="U141" s="349"/>
      <c r="V141" s="349"/>
      <c r="W141" s="349"/>
      <c r="X141" s="349"/>
      <c r="Y141" s="349"/>
      <c r="Z141" s="349"/>
      <c r="AA141" s="349"/>
      <c r="AB141" s="349"/>
      <c r="AC141" s="349"/>
      <c r="AD141" s="349"/>
      <c r="AE141" s="349"/>
      <c r="AF141" s="349"/>
      <c r="AG141" s="349"/>
      <c r="AH141" s="349"/>
      <c r="AI141" s="349"/>
      <c r="AJ141" s="349"/>
      <c r="AK141" s="349"/>
      <c r="AL141" s="349"/>
    </row>
    <row r="142" spans="1:40">
      <c r="C142" s="412"/>
      <c r="E142" s="53" t="s">
        <v>209</v>
      </c>
      <c r="F142" s="313"/>
      <c r="G142" s="314">
        <v>0</v>
      </c>
      <c r="H142" s="314">
        <v>0</v>
      </c>
      <c r="I142" s="314">
        <v>12954.450753333334</v>
      </c>
      <c r="J142" s="314">
        <v>14622.3285942</v>
      </c>
      <c r="K142" s="314">
        <v>16641.873101733334</v>
      </c>
      <c r="L142" s="314">
        <v>16828.084275933335</v>
      </c>
      <c r="M142" s="314">
        <v>17014.295450133333</v>
      </c>
      <c r="N142" s="314">
        <v>17200.506624333335</v>
      </c>
      <c r="O142" s="314">
        <v>17386.717798533336</v>
      </c>
      <c r="P142" s="314">
        <v>17572.928972733334</v>
      </c>
      <c r="Q142" s="314">
        <v>17759.140146933336</v>
      </c>
      <c r="R142" s="314">
        <v>17945.351321133334</v>
      </c>
      <c r="S142" s="314">
        <v>18131.562495333335</v>
      </c>
      <c r="T142" s="314">
        <v>18317.773669533333</v>
      </c>
      <c r="U142" s="314">
        <v>18503.984843733335</v>
      </c>
      <c r="V142" s="314">
        <v>18690.196017933336</v>
      </c>
      <c r="W142" s="314">
        <v>18876.407192133334</v>
      </c>
      <c r="X142" s="314">
        <v>8441.5009463333336</v>
      </c>
      <c r="Y142" s="314">
        <v>6959.8342796666675</v>
      </c>
      <c r="Z142" s="314">
        <v>5126.5009463333336</v>
      </c>
      <c r="AA142" s="314">
        <v>5126.5009463333336</v>
      </c>
      <c r="AB142" s="314">
        <v>5126.5009463333336</v>
      </c>
      <c r="AC142" s="314">
        <v>5126.5009463333336</v>
      </c>
      <c r="AD142" s="314">
        <v>5126.5009463333336</v>
      </c>
      <c r="AE142" s="314">
        <v>5126.5009463333336</v>
      </c>
      <c r="AF142" s="314">
        <v>5126.5009463333336</v>
      </c>
      <c r="AG142" s="314">
        <v>5126.5009463333336</v>
      </c>
      <c r="AH142" s="314">
        <v>5126.5009463333336</v>
      </c>
      <c r="AI142" s="314">
        <v>5126.5009463333336</v>
      </c>
      <c r="AJ142" s="314">
        <v>5126.5009463333336</v>
      </c>
      <c r="AK142" s="314">
        <v>5126.5009463333336</v>
      </c>
      <c r="AL142" s="314">
        <v>4940.2897721333338</v>
      </c>
    </row>
    <row r="143" spans="1:40" ht="3.75" customHeight="1">
      <c r="E143" s="53"/>
      <c r="F143" s="313"/>
      <c r="G143" s="314"/>
      <c r="H143" s="314"/>
      <c r="I143" s="314"/>
      <c r="J143" s="314"/>
      <c r="K143" s="314"/>
      <c r="L143" s="314"/>
      <c r="M143" s="314"/>
      <c r="N143" s="314"/>
      <c r="O143" s="314"/>
      <c r="P143" s="314"/>
      <c r="Q143" s="314"/>
      <c r="R143" s="314"/>
      <c r="S143" s="314"/>
      <c r="T143" s="314"/>
      <c r="U143" s="314"/>
      <c r="V143" s="314"/>
      <c r="W143" s="314"/>
      <c r="X143" s="314"/>
      <c r="Y143" s="314"/>
      <c r="Z143" s="314"/>
      <c r="AA143" s="314"/>
      <c r="AB143" s="314"/>
      <c r="AC143" s="314"/>
      <c r="AD143" s="314"/>
      <c r="AE143" s="314"/>
      <c r="AF143" s="314"/>
      <c r="AG143" s="314"/>
      <c r="AH143" s="314"/>
      <c r="AI143" s="314"/>
      <c r="AJ143" s="314"/>
      <c r="AK143" s="314"/>
      <c r="AL143" s="314"/>
    </row>
    <row r="144" spans="1:40" ht="14.25" thickBot="1">
      <c r="C144" s="51"/>
      <c r="E144" s="77" t="s">
        <v>83</v>
      </c>
      <c r="F144" s="346">
        <v>0</v>
      </c>
      <c r="G144" s="347">
        <v>-113.57337059212044</v>
      </c>
      <c r="H144" s="347">
        <v>-651.08383179631869</v>
      </c>
      <c r="I144" s="347">
        <v>1197.6844466379989</v>
      </c>
      <c r="J144" s="347">
        <v>22029.240660646516</v>
      </c>
      <c r="K144" s="347">
        <v>30925.261580629471</v>
      </c>
      <c r="L144" s="347">
        <v>38331.221713699852</v>
      </c>
      <c r="M144" s="347">
        <v>44017.785089179742</v>
      </c>
      <c r="N144" s="347">
        <v>45079.541651745232</v>
      </c>
      <c r="O144" s="347">
        <v>45478.981337946854</v>
      </c>
      <c r="P144" s="347">
        <v>45899.909328211856</v>
      </c>
      <c r="Q144" s="347">
        <v>46368.332061237605</v>
      </c>
      <c r="R144" s="347">
        <v>45869.292004109731</v>
      </c>
      <c r="S144" s="347">
        <v>45309.269504203214</v>
      </c>
      <c r="T144" s="347">
        <v>44769.495564263969</v>
      </c>
      <c r="U144" s="347">
        <v>44248.964436678347</v>
      </c>
      <c r="V144" s="347">
        <v>43746.756579572393</v>
      </c>
      <c r="W144" s="347">
        <v>43262.032357895572</v>
      </c>
      <c r="X144" s="347">
        <v>53415.14373319412</v>
      </c>
      <c r="Y144" s="347">
        <v>54631.037212106668</v>
      </c>
      <c r="Z144" s="347">
        <v>56213.986770134157</v>
      </c>
      <c r="AA144" s="347">
        <v>55978.420051445064</v>
      </c>
      <c r="AB144" s="347">
        <v>55757.154032232917</v>
      </c>
      <c r="AC144" s="347">
        <v>55549.724798491261</v>
      </c>
      <c r="AD144" s="347">
        <v>55355.7176538614</v>
      </c>
      <c r="AE144" s="347">
        <v>55174.764197071367</v>
      </c>
      <c r="AF144" s="347">
        <v>55006.539677865367</v>
      </c>
      <c r="AG144" s="347">
        <v>54850.760609442026</v>
      </c>
      <c r="AH144" s="347">
        <v>54707.182617648592</v>
      </c>
      <c r="AI144" s="347">
        <v>54575.598509196883</v>
      </c>
      <c r="AJ144" s="347">
        <v>54455.83654301225</v>
      </c>
      <c r="AK144" s="347">
        <v>54347.75889050206</v>
      </c>
      <c r="AL144" s="347">
        <v>54440.29950204974</v>
      </c>
    </row>
    <row r="145" spans="1:40" ht="3.75" customHeight="1">
      <c r="E145" s="53"/>
      <c r="F145" s="313"/>
      <c r="G145" s="314"/>
      <c r="H145" s="314"/>
      <c r="I145" s="314"/>
      <c r="J145" s="314"/>
      <c r="K145" s="314"/>
      <c r="L145" s="314"/>
      <c r="M145" s="314"/>
      <c r="N145" s="314"/>
      <c r="O145" s="314"/>
      <c r="P145" s="314"/>
      <c r="Q145" s="314"/>
      <c r="R145" s="314"/>
      <c r="S145" s="314"/>
      <c r="T145" s="314"/>
      <c r="U145" s="314"/>
      <c r="V145" s="314"/>
      <c r="W145" s="314"/>
      <c r="X145" s="314"/>
      <c r="Y145" s="314"/>
      <c r="Z145" s="314"/>
      <c r="AA145" s="314"/>
      <c r="AB145" s="314"/>
      <c r="AC145" s="314"/>
      <c r="AD145" s="314"/>
      <c r="AE145" s="314"/>
      <c r="AF145" s="314"/>
      <c r="AG145" s="314"/>
      <c r="AH145" s="314"/>
      <c r="AI145" s="314"/>
      <c r="AJ145" s="314"/>
      <c r="AK145" s="314"/>
      <c r="AL145" s="314"/>
    </row>
    <row r="146" spans="1:40">
      <c r="C146" s="412"/>
      <c r="E146" s="53" t="s">
        <v>84</v>
      </c>
      <c r="F146" s="313">
        <v>0</v>
      </c>
      <c r="G146" s="314">
        <v>0</v>
      </c>
      <c r="H146" s="314">
        <v>0</v>
      </c>
      <c r="I146" s="314">
        <v>0</v>
      </c>
      <c r="J146" s="314">
        <v>0</v>
      </c>
      <c r="K146" s="314">
        <v>0</v>
      </c>
      <c r="L146" s="314">
        <v>0</v>
      </c>
      <c r="M146" s="314">
        <v>0</v>
      </c>
      <c r="N146" s="314">
        <v>0</v>
      </c>
      <c r="O146" s="314">
        <v>0</v>
      </c>
      <c r="P146" s="314">
        <v>0</v>
      </c>
      <c r="Q146" s="314">
        <v>0</v>
      </c>
      <c r="R146" s="314">
        <v>0</v>
      </c>
      <c r="S146" s="314">
        <v>0</v>
      </c>
      <c r="T146" s="314">
        <v>0</v>
      </c>
      <c r="U146" s="314">
        <v>0</v>
      </c>
      <c r="V146" s="314">
        <v>0</v>
      </c>
      <c r="W146" s="314">
        <v>0</v>
      </c>
      <c r="X146" s="314">
        <v>0</v>
      </c>
      <c r="Y146" s="314">
        <v>0</v>
      </c>
      <c r="Z146" s="314">
        <v>0</v>
      </c>
      <c r="AA146" s="314">
        <v>0</v>
      </c>
      <c r="AB146" s="314">
        <v>0</v>
      </c>
      <c r="AC146" s="314">
        <v>0</v>
      </c>
      <c r="AD146" s="314">
        <v>0</v>
      </c>
      <c r="AE146" s="314">
        <v>0</v>
      </c>
      <c r="AF146" s="314">
        <v>0</v>
      </c>
      <c r="AG146" s="314">
        <v>0</v>
      </c>
      <c r="AH146" s="314">
        <v>0</v>
      </c>
      <c r="AI146" s="314">
        <v>0</v>
      </c>
      <c r="AJ146" s="314">
        <v>0</v>
      </c>
      <c r="AK146" s="314">
        <v>0</v>
      </c>
      <c r="AL146" s="314">
        <v>0</v>
      </c>
    </row>
    <row r="147" spans="1:40" ht="3.75" customHeight="1">
      <c r="E147" s="53"/>
      <c r="F147" s="313"/>
      <c r="G147" s="314"/>
      <c r="H147" s="314"/>
      <c r="I147" s="314"/>
      <c r="J147" s="314"/>
      <c r="K147" s="314"/>
      <c r="L147" s="314"/>
      <c r="M147" s="314"/>
      <c r="N147" s="314"/>
      <c r="O147" s="314"/>
      <c r="P147" s="314"/>
      <c r="Q147" s="314"/>
      <c r="R147" s="314"/>
      <c r="S147" s="314"/>
      <c r="T147" s="314"/>
      <c r="U147" s="314"/>
      <c r="V147" s="314"/>
      <c r="W147" s="314"/>
      <c r="X147" s="314"/>
      <c r="Y147" s="314"/>
      <c r="Z147" s="314"/>
      <c r="AA147" s="314"/>
      <c r="AB147" s="314"/>
      <c r="AC147" s="314"/>
      <c r="AD147" s="314"/>
      <c r="AE147" s="314"/>
      <c r="AF147" s="314"/>
      <c r="AG147" s="314"/>
      <c r="AH147" s="314"/>
      <c r="AI147" s="314"/>
      <c r="AJ147" s="314"/>
      <c r="AK147" s="314"/>
      <c r="AL147" s="314"/>
    </row>
    <row r="148" spans="1:40" ht="14.25" thickBot="1">
      <c r="C148" s="51"/>
      <c r="E148" s="77" t="s">
        <v>85</v>
      </c>
      <c r="F148" s="346">
        <v>0</v>
      </c>
      <c r="G148" s="347">
        <v>-113.57337059212044</v>
      </c>
      <c r="H148" s="347">
        <v>-651.08383179631869</v>
      </c>
      <c r="I148" s="347">
        <v>1197.6844466379989</v>
      </c>
      <c r="J148" s="347">
        <v>22029.240660646516</v>
      </c>
      <c r="K148" s="347">
        <v>30925.261580629471</v>
      </c>
      <c r="L148" s="347">
        <v>38331.221713699852</v>
      </c>
      <c r="M148" s="347">
        <v>44017.785089179742</v>
      </c>
      <c r="N148" s="347">
        <v>45079.541651745232</v>
      </c>
      <c r="O148" s="347">
        <v>45478.981337946854</v>
      </c>
      <c r="P148" s="347">
        <v>45899.909328211856</v>
      </c>
      <c r="Q148" s="347">
        <v>46368.332061237605</v>
      </c>
      <c r="R148" s="347">
        <v>45869.292004109731</v>
      </c>
      <c r="S148" s="347">
        <v>45309.269504203214</v>
      </c>
      <c r="T148" s="347">
        <v>44769.495564263969</v>
      </c>
      <c r="U148" s="347">
        <v>44248.964436678347</v>
      </c>
      <c r="V148" s="347">
        <v>43746.756579572393</v>
      </c>
      <c r="W148" s="347">
        <v>43262.032357895572</v>
      </c>
      <c r="X148" s="347">
        <v>53415.14373319412</v>
      </c>
      <c r="Y148" s="347">
        <v>54631.037212106668</v>
      </c>
      <c r="Z148" s="347">
        <v>56213.986770134157</v>
      </c>
      <c r="AA148" s="347">
        <v>55978.420051445064</v>
      </c>
      <c r="AB148" s="347">
        <v>55757.154032232917</v>
      </c>
      <c r="AC148" s="347">
        <v>55549.724798491261</v>
      </c>
      <c r="AD148" s="347">
        <v>55355.7176538614</v>
      </c>
      <c r="AE148" s="347">
        <v>55174.764197071367</v>
      </c>
      <c r="AF148" s="347">
        <v>55006.539677865367</v>
      </c>
      <c r="AG148" s="347">
        <v>54850.760609442026</v>
      </c>
      <c r="AH148" s="347">
        <v>54707.182617648592</v>
      </c>
      <c r="AI148" s="347">
        <v>54575.598509196883</v>
      </c>
      <c r="AJ148" s="347">
        <v>54455.83654301225</v>
      </c>
      <c r="AK148" s="347">
        <v>54347.75889050206</v>
      </c>
      <c r="AL148" s="347">
        <v>54440.29950204974</v>
      </c>
    </row>
    <row r="149" spans="1:40" ht="3.75" customHeight="1">
      <c r="E149" s="53"/>
      <c r="F149" s="313"/>
      <c r="G149" s="314"/>
      <c r="H149" s="314"/>
      <c r="I149" s="314"/>
      <c r="J149" s="314"/>
      <c r="K149" s="314"/>
      <c r="L149" s="314"/>
      <c r="M149" s="314"/>
      <c r="N149" s="314"/>
      <c r="O149" s="314"/>
      <c r="P149" s="314"/>
      <c r="Q149" s="314"/>
      <c r="R149" s="314"/>
      <c r="S149" s="314"/>
      <c r="T149" s="314"/>
      <c r="U149" s="314"/>
      <c r="V149" s="314"/>
      <c r="W149" s="314"/>
      <c r="X149" s="314"/>
      <c r="Y149" s="314"/>
      <c r="Z149" s="314"/>
      <c r="AA149" s="314"/>
      <c r="AB149" s="314"/>
      <c r="AC149" s="314"/>
      <c r="AD149" s="314"/>
      <c r="AE149" s="314"/>
      <c r="AF149" s="314"/>
      <c r="AG149" s="314"/>
      <c r="AH149" s="314"/>
      <c r="AI149" s="314"/>
      <c r="AJ149" s="314"/>
      <c r="AK149" s="314"/>
      <c r="AL149" s="314"/>
    </row>
    <row r="150" spans="1:40" outlineLevel="1">
      <c r="C150" s="412"/>
      <c r="E150" s="78" t="s">
        <v>232</v>
      </c>
      <c r="F150" s="313"/>
      <c r="G150" s="314"/>
      <c r="H150" s="314"/>
      <c r="I150" s="314">
        <v>107.7916001974199</v>
      </c>
      <c r="J150" s="314">
        <v>1982.6316594581863</v>
      </c>
      <c r="K150" s="314">
        <v>2783.273542256652</v>
      </c>
      <c r="L150" s="314">
        <v>3449.8099542329865</v>
      </c>
      <c r="M150" s="314">
        <v>3961.6006580261765</v>
      </c>
      <c r="N150" s="314">
        <v>4057.1587486570706</v>
      </c>
      <c r="O150" s="314">
        <v>4093.1083204152169</v>
      </c>
      <c r="P150" s="314">
        <v>4130.9918395390669</v>
      </c>
      <c r="Q150" s="314">
        <v>4173.1498855113841</v>
      </c>
      <c r="R150" s="314">
        <v>4128.2362803698761</v>
      </c>
      <c r="S150" s="314">
        <v>4077.8342553782891</v>
      </c>
      <c r="T150" s="314">
        <v>4029.2546007837573</v>
      </c>
      <c r="U150" s="314">
        <v>3982.4067993010513</v>
      </c>
      <c r="V150" s="314">
        <v>3937.2080921615152</v>
      </c>
      <c r="W150" s="314">
        <v>3893.5829122106015</v>
      </c>
      <c r="X150" s="314">
        <v>4807.3629359874703</v>
      </c>
      <c r="Y150" s="314">
        <v>4916.7933490896003</v>
      </c>
      <c r="Z150" s="314">
        <v>5059.2588093120739</v>
      </c>
      <c r="AA150" s="314">
        <v>5038.0578046300552</v>
      </c>
      <c r="AB150" s="314">
        <v>5018.1438629009626</v>
      </c>
      <c r="AC150" s="314">
        <v>4999.4752318642131</v>
      </c>
      <c r="AD150" s="314">
        <v>4982.0145888475263</v>
      </c>
      <c r="AE150" s="314">
        <v>4965.7287777364227</v>
      </c>
      <c r="AF150" s="314">
        <v>4950.5885710078828</v>
      </c>
      <c r="AG150" s="314">
        <v>4936.568454849782</v>
      </c>
      <c r="AH150" s="314">
        <v>4923.6464355883727</v>
      </c>
      <c r="AI150" s="314">
        <v>4911.8038658277192</v>
      </c>
      <c r="AJ150" s="314">
        <v>4901.025288871102</v>
      </c>
      <c r="AK150" s="314">
        <v>4891.2983001451848</v>
      </c>
      <c r="AL150" s="314">
        <v>4899.6269551844762</v>
      </c>
    </row>
    <row r="151" spans="1:40" outlineLevel="1">
      <c r="C151" s="412"/>
      <c r="E151" s="78" t="s">
        <v>233</v>
      </c>
      <c r="F151" s="313"/>
      <c r="G151" s="314"/>
      <c r="H151" s="314"/>
      <c r="I151" s="314">
        <v>0</v>
      </c>
      <c r="J151" s="314">
        <v>0</v>
      </c>
      <c r="K151" s="314">
        <v>0</v>
      </c>
      <c r="L151" s="314">
        <v>0</v>
      </c>
      <c r="M151" s="314">
        <v>0</v>
      </c>
      <c r="N151" s="314">
        <v>0</v>
      </c>
      <c r="O151" s="314">
        <v>0</v>
      </c>
      <c r="P151" s="314">
        <v>0</v>
      </c>
      <c r="Q151" s="314">
        <v>0</v>
      </c>
      <c r="R151" s="314">
        <v>0</v>
      </c>
      <c r="S151" s="314">
        <v>0</v>
      </c>
      <c r="T151" s="314">
        <v>0</v>
      </c>
      <c r="U151" s="314">
        <v>0</v>
      </c>
      <c r="V151" s="314">
        <v>0</v>
      </c>
      <c r="W151" s="314">
        <v>0</v>
      </c>
      <c r="X151" s="314">
        <v>0</v>
      </c>
      <c r="Y151" s="314">
        <v>0</v>
      </c>
      <c r="Z151" s="314">
        <v>0</v>
      </c>
      <c r="AA151" s="314">
        <v>0</v>
      </c>
      <c r="AB151" s="314">
        <v>0</v>
      </c>
      <c r="AC151" s="314">
        <v>0</v>
      </c>
      <c r="AD151" s="314">
        <v>0</v>
      </c>
      <c r="AE151" s="314">
        <v>0</v>
      </c>
      <c r="AF151" s="314">
        <v>0</v>
      </c>
      <c r="AG151" s="314">
        <v>0</v>
      </c>
      <c r="AH151" s="314">
        <v>0</v>
      </c>
      <c r="AI151" s="314">
        <v>0</v>
      </c>
      <c r="AJ151" s="314">
        <v>0</v>
      </c>
      <c r="AK151" s="314">
        <v>0</v>
      </c>
      <c r="AL151" s="314">
        <v>0</v>
      </c>
    </row>
    <row r="152" spans="1:40" outlineLevel="1">
      <c r="C152" s="412"/>
      <c r="E152" s="78" t="s">
        <v>234</v>
      </c>
      <c r="F152" s="313"/>
      <c r="G152" s="314"/>
      <c r="H152" s="314"/>
      <c r="I152" s="314">
        <v>0</v>
      </c>
      <c r="J152" s="314">
        <v>0</v>
      </c>
      <c r="K152" s="314">
        <v>0</v>
      </c>
      <c r="L152" s="314">
        <v>0</v>
      </c>
      <c r="M152" s="314">
        <v>0</v>
      </c>
      <c r="N152" s="314">
        <v>0</v>
      </c>
      <c r="O152" s="314">
        <v>0</v>
      </c>
      <c r="P152" s="314">
        <v>0</v>
      </c>
      <c r="Q152" s="314">
        <v>0</v>
      </c>
      <c r="R152" s="314">
        <v>0</v>
      </c>
      <c r="S152" s="314">
        <v>0</v>
      </c>
      <c r="T152" s="314">
        <v>0</v>
      </c>
      <c r="U152" s="314">
        <v>0</v>
      </c>
      <c r="V152" s="314">
        <v>0</v>
      </c>
      <c r="W152" s="314">
        <v>0</v>
      </c>
      <c r="X152" s="314">
        <v>0</v>
      </c>
      <c r="Y152" s="314">
        <v>0</v>
      </c>
      <c r="Z152" s="314">
        <v>0</v>
      </c>
      <c r="AA152" s="314">
        <v>0</v>
      </c>
      <c r="AB152" s="314">
        <v>0</v>
      </c>
      <c r="AC152" s="314">
        <v>0</v>
      </c>
      <c r="AD152" s="314">
        <v>0</v>
      </c>
      <c r="AE152" s="314">
        <v>0</v>
      </c>
      <c r="AF152" s="314">
        <v>0</v>
      </c>
      <c r="AG152" s="314">
        <v>0</v>
      </c>
      <c r="AH152" s="314">
        <v>0</v>
      </c>
      <c r="AI152" s="314">
        <v>0</v>
      </c>
      <c r="AJ152" s="314">
        <v>0</v>
      </c>
      <c r="AK152" s="314">
        <v>0</v>
      </c>
      <c r="AL152" s="314">
        <v>0</v>
      </c>
    </row>
    <row r="153" spans="1:40" outlineLevel="1">
      <c r="C153" s="412"/>
      <c r="E153" s="78" t="s">
        <v>235</v>
      </c>
      <c r="F153" s="313"/>
      <c r="G153" s="314"/>
      <c r="H153" s="314"/>
      <c r="I153" s="314">
        <v>107.7916001974199</v>
      </c>
      <c r="J153" s="314">
        <v>1982.6316594581863</v>
      </c>
      <c r="K153" s="314">
        <v>2783.273542256652</v>
      </c>
      <c r="L153" s="314">
        <v>3449.8099542329865</v>
      </c>
      <c r="M153" s="314">
        <v>3961.6006580261765</v>
      </c>
      <c r="N153" s="314">
        <v>4057.1587486570706</v>
      </c>
      <c r="O153" s="314">
        <v>4093.1083204152169</v>
      </c>
      <c r="P153" s="314">
        <v>4130.9918395390669</v>
      </c>
      <c r="Q153" s="314">
        <v>4173.1498855113841</v>
      </c>
      <c r="R153" s="314">
        <v>4128.2362803698761</v>
      </c>
      <c r="S153" s="314">
        <v>4077.8342553782891</v>
      </c>
      <c r="T153" s="314">
        <v>4029.2546007837573</v>
      </c>
      <c r="U153" s="314">
        <v>3982.4067993010513</v>
      </c>
      <c r="V153" s="314">
        <v>3937.2080921615152</v>
      </c>
      <c r="W153" s="314">
        <v>3893.5829122106015</v>
      </c>
      <c r="X153" s="314">
        <v>4807.3629359874703</v>
      </c>
      <c r="Y153" s="314">
        <v>4916.7933490896003</v>
      </c>
      <c r="Z153" s="314">
        <v>5059.2588093120739</v>
      </c>
      <c r="AA153" s="314">
        <v>5038.0578046300552</v>
      </c>
      <c r="AB153" s="314">
        <v>5018.1438629009626</v>
      </c>
      <c r="AC153" s="314">
        <v>4999.4752318642131</v>
      </c>
      <c r="AD153" s="314">
        <v>4982.0145888475263</v>
      </c>
      <c r="AE153" s="314">
        <v>4965.7287777364227</v>
      </c>
      <c r="AF153" s="314">
        <v>4950.5885710078828</v>
      </c>
      <c r="AG153" s="314">
        <v>4936.568454849782</v>
      </c>
      <c r="AH153" s="314">
        <v>4923.6464355883727</v>
      </c>
      <c r="AI153" s="314">
        <v>4911.8038658277192</v>
      </c>
      <c r="AJ153" s="314">
        <v>4901.025288871102</v>
      </c>
      <c r="AK153" s="314">
        <v>4891.2983001451848</v>
      </c>
      <c r="AL153" s="314">
        <v>4899.6269551844762</v>
      </c>
    </row>
    <row r="154" spans="1:40">
      <c r="C154" s="412"/>
      <c r="E154" s="53" t="s">
        <v>236</v>
      </c>
      <c r="F154" s="313"/>
      <c r="G154" s="314"/>
      <c r="H154" s="314"/>
      <c r="I154" s="314">
        <v>107.7916001974199</v>
      </c>
      <c r="J154" s="314">
        <v>1982.6316594581863</v>
      </c>
      <c r="K154" s="314">
        <v>2783.273542256652</v>
      </c>
      <c r="L154" s="314">
        <v>3449.8099542329865</v>
      </c>
      <c r="M154" s="314">
        <v>3961.6006580261765</v>
      </c>
      <c r="N154" s="314">
        <v>4057.1587486570706</v>
      </c>
      <c r="O154" s="314">
        <v>4093.1083204152169</v>
      </c>
      <c r="P154" s="314">
        <v>4130.9918395390669</v>
      </c>
      <c r="Q154" s="314">
        <v>4173.1498855113841</v>
      </c>
      <c r="R154" s="314">
        <v>4128.2362803698761</v>
      </c>
      <c r="S154" s="314">
        <v>4077.8342553782891</v>
      </c>
      <c r="T154" s="314">
        <v>4029.2546007837573</v>
      </c>
      <c r="U154" s="314">
        <v>3982.4067993010513</v>
      </c>
      <c r="V154" s="314">
        <v>3937.2080921615152</v>
      </c>
      <c r="W154" s="314">
        <v>3893.5829122106015</v>
      </c>
      <c r="X154" s="314">
        <v>4807.3629359874703</v>
      </c>
      <c r="Y154" s="314">
        <v>4916.7933490896003</v>
      </c>
      <c r="Z154" s="314">
        <v>5059.2588093120739</v>
      </c>
      <c r="AA154" s="314">
        <v>5038.0578046300552</v>
      </c>
      <c r="AB154" s="314">
        <v>5018.1438629009626</v>
      </c>
      <c r="AC154" s="314">
        <v>4999.4752318642131</v>
      </c>
      <c r="AD154" s="314">
        <v>4982.0145888475263</v>
      </c>
      <c r="AE154" s="314">
        <v>4965.7287777364227</v>
      </c>
      <c r="AF154" s="314">
        <v>4950.5885710078828</v>
      </c>
      <c r="AG154" s="314">
        <v>4936.568454849782</v>
      </c>
      <c r="AH154" s="314">
        <v>4923.6464355883727</v>
      </c>
      <c r="AI154" s="314">
        <v>4911.8038658277192</v>
      </c>
      <c r="AJ154" s="314">
        <v>4901.025288871102</v>
      </c>
      <c r="AK154" s="314">
        <v>4891.2983001451848</v>
      </c>
      <c r="AL154" s="314">
        <v>4899.6269551844762</v>
      </c>
    </row>
    <row r="155" spans="1:40" ht="3.75" customHeight="1">
      <c r="E155" s="53"/>
      <c r="F155" s="313"/>
      <c r="G155" s="314"/>
      <c r="H155" s="314"/>
      <c r="I155" s="314"/>
      <c r="J155" s="314"/>
      <c r="K155" s="314"/>
      <c r="L155" s="314"/>
      <c r="M155" s="314"/>
      <c r="N155" s="314"/>
      <c r="O155" s="314"/>
      <c r="P155" s="314"/>
      <c r="Q155" s="314"/>
      <c r="R155" s="314"/>
      <c r="S155" s="314"/>
      <c r="T155" s="314"/>
      <c r="U155" s="314"/>
      <c r="V155" s="314"/>
      <c r="W155" s="314"/>
      <c r="X155" s="314"/>
      <c r="Y155" s="314"/>
      <c r="Z155" s="314"/>
      <c r="AA155" s="314"/>
      <c r="AB155" s="314"/>
      <c r="AC155" s="314"/>
      <c r="AD155" s="314"/>
      <c r="AE155" s="314"/>
      <c r="AF155" s="314"/>
      <c r="AG155" s="314"/>
      <c r="AH155" s="314"/>
      <c r="AI155" s="314"/>
      <c r="AJ155" s="314"/>
      <c r="AK155" s="314"/>
      <c r="AL155" s="314"/>
    </row>
    <row r="156" spans="1:40" ht="14.25" thickBot="1">
      <c r="C156" s="51"/>
      <c r="E156" s="48" t="s">
        <v>237</v>
      </c>
      <c r="F156" s="350">
        <v>0</v>
      </c>
      <c r="G156" s="351">
        <v>-113.57337059212044</v>
      </c>
      <c r="H156" s="351">
        <v>-651.08383179631869</v>
      </c>
      <c r="I156" s="351">
        <v>1089.892846440579</v>
      </c>
      <c r="J156" s="351">
        <v>20046.609001188328</v>
      </c>
      <c r="K156" s="351">
        <v>28141.98803837282</v>
      </c>
      <c r="L156" s="351">
        <v>34881.411759466864</v>
      </c>
      <c r="M156" s="351">
        <v>40056.184431153568</v>
      </c>
      <c r="N156" s="351">
        <v>41022.382903088161</v>
      </c>
      <c r="O156" s="351">
        <v>41385.873017531638</v>
      </c>
      <c r="P156" s="351">
        <v>41768.917488672785</v>
      </c>
      <c r="Q156" s="351">
        <v>42195.182175726222</v>
      </c>
      <c r="R156" s="351">
        <v>41741.055723739853</v>
      </c>
      <c r="S156" s="351">
        <v>41231.435248824928</v>
      </c>
      <c r="T156" s="351">
        <v>40740.24096348021</v>
      </c>
      <c r="U156" s="351">
        <v>40266.557637377293</v>
      </c>
      <c r="V156" s="351">
        <v>39809.548487410881</v>
      </c>
      <c r="W156" s="351">
        <v>39368.449445684972</v>
      </c>
      <c r="X156" s="351">
        <v>48607.780797206651</v>
      </c>
      <c r="Y156" s="351">
        <v>49714.243863017065</v>
      </c>
      <c r="Z156" s="351">
        <v>51154.727960822085</v>
      </c>
      <c r="AA156" s="351">
        <v>50940.362246815006</v>
      </c>
      <c r="AB156" s="351">
        <v>50739.010169331952</v>
      </c>
      <c r="AC156" s="351">
        <v>50550.249566627048</v>
      </c>
      <c r="AD156" s="351">
        <v>50373.703065013877</v>
      </c>
      <c r="AE156" s="351">
        <v>50209.035419334941</v>
      </c>
      <c r="AF156" s="351">
        <v>50055.951106857487</v>
      </c>
      <c r="AG156" s="351">
        <v>49914.192154592245</v>
      </c>
      <c r="AH156" s="351">
        <v>49783.536182060219</v>
      </c>
      <c r="AI156" s="351">
        <v>49663.794643369161</v>
      </c>
      <c r="AJ156" s="351">
        <v>49554.811254141146</v>
      </c>
      <c r="AK156" s="351">
        <v>49456.460590356874</v>
      </c>
      <c r="AL156" s="351">
        <v>49540.672546865266</v>
      </c>
    </row>
    <row r="157" spans="1:40" ht="3.75" customHeight="1">
      <c r="E157" s="79"/>
      <c r="F157" s="352"/>
      <c r="G157" s="353"/>
      <c r="H157" s="353"/>
      <c r="I157" s="353"/>
      <c r="J157" s="353"/>
      <c r="K157" s="353"/>
      <c r="L157" s="353"/>
      <c r="M157" s="353"/>
      <c r="N157" s="353"/>
      <c r="O157" s="353"/>
      <c r="P157" s="353"/>
      <c r="Q157" s="353"/>
      <c r="R157" s="353"/>
      <c r="S157" s="353"/>
      <c r="T157" s="353"/>
      <c r="U157" s="353"/>
      <c r="V157" s="353"/>
      <c r="W157" s="353"/>
      <c r="X157" s="353"/>
      <c r="Y157" s="353"/>
      <c r="Z157" s="353"/>
      <c r="AA157" s="353"/>
      <c r="AB157" s="353"/>
      <c r="AC157" s="353"/>
      <c r="AD157" s="353"/>
      <c r="AE157" s="353"/>
      <c r="AF157" s="353"/>
      <c r="AG157" s="353"/>
      <c r="AH157" s="353"/>
      <c r="AI157" s="353"/>
      <c r="AJ157" s="353"/>
      <c r="AK157" s="353"/>
      <c r="AL157" s="353"/>
    </row>
    <row r="158" spans="1:40" s="60" customFormat="1">
      <c r="A158" s="59"/>
      <c r="B158" s="18"/>
      <c r="C158" s="418"/>
      <c r="E158" s="248" t="s">
        <v>413</v>
      </c>
      <c r="F158" s="354">
        <v>0</v>
      </c>
      <c r="G158" s="355">
        <v>-99.57117421774943</v>
      </c>
      <c r="H158" s="355">
        <v>-584.81541877114353</v>
      </c>
      <c r="I158" s="355">
        <v>12932.211666305977</v>
      </c>
      <c r="J158" s="355">
        <v>32822.790764679616</v>
      </c>
      <c r="K158" s="355">
        <v>43892.009325508152</v>
      </c>
      <c r="L158" s="355">
        <v>51088.823815326381</v>
      </c>
      <c r="M158" s="355">
        <v>56591.211175134398</v>
      </c>
      <c r="N158" s="355">
        <v>58123.827318163101</v>
      </c>
      <c r="O158" s="355">
        <v>58728.053213720341</v>
      </c>
      <c r="P158" s="355">
        <v>59295.6325743407</v>
      </c>
      <c r="Q158" s="355">
        <v>59904.296970375908</v>
      </c>
      <c r="R158" s="355">
        <v>59715.993792296387</v>
      </c>
      <c r="S158" s="355">
        <v>59397.693819658154</v>
      </c>
      <c r="T158" s="355">
        <v>59091.146044571105</v>
      </c>
      <c r="U158" s="355">
        <v>58802.19448986213</v>
      </c>
      <c r="V158" s="355">
        <v>58529.995357109379</v>
      </c>
      <c r="W158" s="355">
        <v>58273.778082765544</v>
      </c>
      <c r="X158" s="355">
        <v>57076.939509165437</v>
      </c>
      <c r="Y158" s="355">
        <v>56700.532364283536</v>
      </c>
      <c r="Z158" s="355">
        <v>56306.534519555935</v>
      </c>
      <c r="AA158" s="355">
        <v>56091.070287085415</v>
      </c>
      <c r="AB158" s="355">
        <v>55888.665261867674</v>
      </c>
      <c r="AC158" s="355">
        <v>55698.893056690053</v>
      </c>
      <c r="AD158" s="355">
        <v>55521.372339875859</v>
      </c>
      <c r="AE158" s="355">
        <v>55355.764150923402</v>
      </c>
      <c r="AF158" s="355">
        <v>55201.769471581589</v>
      </c>
      <c r="AG158" s="355">
        <v>55059.127032157179</v>
      </c>
      <c r="AH158" s="355">
        <v>54927.611334895635</v>
      </c>
      <c r="AI158" s="355">
        <v>54807.030878131409</v>
      </c>
      <c r="AJ158" s="355">
        <v>54697.226566597463</v>
      </c>
      <c r="AK158" s="355">
        <v>54598.070294822028</v>
      </c>
      <c r="AL158" s="355">
        <v>54495.045774093705</v>
      </c>
      <c r="AN158" s="59"/>
    </row>
    <row r="159" spans="1:40">
      <c r="C159" s="417"/>
      <c r="E159" s="249" t="s">
        <v>237</v>
      </c>
      <c r="F159" s="356">
        <v>0</v>
      </c>
      <c r="G159" s="357">
        <v>-113.57337059212044</v>
      </c>
      <c r="H159" s="357">
        <v>-651.08383179631869</v>
      </c>
      <c r="I159" s="357">
        <v>1089.892846440579</v>
      </c>
      <c r="J159" s="357">
        <v>20046.609001188328</v>
      </c>
      <c r="K159" s="357">
        <v>28141.98803837282</v>
      </c>
      <c r="L159" s="357">
        <v>34881.411759466864</v>
      </c>
      <c r="M159" s="357">
        <v>40056.184431153568</v>
      </c>
      <c r="N159" s="357">
        <v>41022.382903088161</v>
      </c>
      <c r="O159" s="357">
        <v>41385.873017531638</v>
      </c>
      <c r="P159" s="357">
        <v>41768.917488672785</v>
      </c>
      <c r="Q159" s="357">
        <v>42195.182175726222</v>
      </c>
      <c r="R159" s="357">
        <v>41741.055723739853</v>
      </c>
      <c r="S159" s="357">
        <v>41231.435248824928</v>
      </c>
      <c r="T159" s="357">
        <v>40740.24096348021</v>
      </c>
      <c r="U159" s="357">
        <v>40266.557637377293</v>
      </c>
      <c r="V159" s="357">
        <v>39809.548487410881</v>
      </c>
      <c r="W159" s="357">
        <v>39368.449445684972</v>
      </c>
      <c r="X159" s="357">
        <v>48607.780797206651</v>
      </c>
      <c r="Y159" s="357">
        <v>49714.243863017065</v>
      </c>
      <c r="Z159" s="357">
        <v>51154.727960822085</v>
      </c>
      <c r="AA159" s="357">
        <v>50940.362246815006</v>
      </c>
      <c r="AB159" s="357">
        <v>50739.010169331952</v>
      </c>
      <c r="AC159" s="357">
        <v>50550.249566627048</v>
      </c>
      <c r="AD159" s="357">
        <v>50373.703065013877</v>
      </c>
      <c r="AE159" s="357">
        <v>50209.035419334941</v>
      </c>
      <c r="AF159" s="357">
        <v>50055.951106857487</v>
      </c>
      <c r="AG159" s="357">
        <v>49914.192154592245</v>
      </c>
      <c r="AH159" s="357">
        <v>49783.536182060219</v>
      </c>
      <c r="AI159" s="357">
        <v>49663.794643369161</v>
      </c>
      <c r="AJ159" s="357">
        <v>49554.811254141146</v>
      </c>
      <c r="AK159" s="357">
        <v>49456.460590356874</v>
      </c>
      <c r="AL159" s="357">
        <v>49540.672546865266</v>
      </c>
    </row>
    <row r="160" spans="1:40">
      <c r="C160" s="417"/>
      <c r="E160" s="249" t="s">
        <v>82</v>
      </c>
      <c r="F160" s="356">
        <v>0</v>
      </c>
      <c r="G160" s="357">
        <v>0</v>
      </c>
      <c r="H160" s="357">
        <v>0</v>
      </c>
      <c r="I160" s="357">
        <v>12954.450753333334</v>
      </c>
      <c r="J160" s="357">
        <v>14622.3285942</v>
      </c>
      <c r="K160" s="357">
        <v>16641.873101733334</v>
      </c>
      <c r="L160" s="357">
        <v>16828.084275933335</v>
      </c>
      <c r="M160" s="357">
        <v>17014.295450133333</v>
      </c>
      <c r="N160" s="357">
        <v>17200.506624333335</v>
      </c>
      <c r="O160" s="357">
        <v>17386.717798533336</v>
      </c>
      <c r="P160" s="357">
        <v>17572.928972733334</v>
      </c>
      <c r="Q160" s="357">
        <v>17759.140146933336</v>
      </c>
      <c r="R160" s="357">
        <v>17945.351321133334</v>
      </c>
      <c r="S160" s="357">
        <v>18131.562495333335</v>
      </c>
      <c r="T160" s="357">
        <v>18317.773669533333</v>
      </c>
      <c r="U160" s="357">
        <v>18503.984843733335</v>
      </c>
      <c r="V160" s="357">
        <v>18690.196017933336</v>
      </c>
      <c r="W160" s="357">
        <v>18876.407192133334</v>
      </c>
      <c r="X160" s="357">
        <v>8441.5009463333336</v>
      </c>
      <c r="Y160" s="357">
        <v>6959.8342796666675</v>
      </c>
      <c r="Z160" s="357">
        <v>5126.5009463333336</v>
      </c>
      <c r="AA160" s="357">
        <v>5126.5009463333336</v>
      </c>
      <c r="AB160" s="357">
        <v>5126.5009463333336</v>
      </c>
      <c r="AC160" s="357">
        <v>5126.5009463333336</v>
      </c>
      <c r="AD160" s="357">
        <v>5126.5009463333336</v>
      </c>
      <c r="AE160" s="357">
        <v>5126.5009463333336</v>
      </c>
      <c r="AF160" s="357">
        <v>5126.5009463333336</v>
      </c>
      <c r="AG160" s="357">
        <v>5126.5009463333336</v>
      </c>
      <c r="AH160" s="357">
        <v>5126.5009463333336</v>
      </c>
      <c r="AI160" s="357">
        <v>5126.5009463333336</v>
      </c>
      <c r="AJ160" s="357">
        <v>5126.5009463333336</v>
      </c>
      <c r="AK160" s="357">
        <v>5126.5009463333336</v>
      </c>
      <c r="AL160" s="357">
        <v>4940.2897721333338</v>
      </c>
    </row>
    <row r="161" spans="1:40">
      <c r="C161" s="417"/>
      <c r="E161" s="249" t="s">
        <v>385</v>
      </c>
      <c r="F161" s="356">
        <v>0</v>
      </c>
      <c r="G161" s="357">
        <v>0</v>
      </c>
      <c r="H161" s="357">
        <v>0</v>
      </c>
      <c r="I161" s="357">
        <v>-3428.2324886423876</v>
      </c>
      <c r="J161" s="357">
        <v>-5219.9021713440789</v>
      </c>
      <c r="K161" s="357">
        <v>-1853.5807563931066</v>
      </c>
      <c r="L161" s="357">
        <v>-1288.0513496952699</v>
      </c>
      <c r="M161" s="357">
        <v>-991.31897198811021</v>
      </c>
      <c r="N161" s="357">
        <v>-182.98682533701685</v>
      </c>
      <c r="O161" s="357">
        <v>-91.992458665685263</v>
      </c>
      <c r="P161" s="357">
        <v>-97.282934435892457</v>
      </c>
      <c r="Q161" s="357">
        <v>-105.57690434678443</v>
      </c>
      <c r="R161" s="357">
        <v>66.726088023324337</v>
      </c>
      <c r="S161" s="357">
        <v>71.298271084442604</v>
      </c>
      <c r="T161" s="357">
        <v>67.720636929305329</v>
      </c>
      <c r="U161" s="357">
        <v>64.308593331918019</v>
      </c>
      <c r="V161" s="357">
        <v>61.04715154079895</v>
      </c>
      <c r="W161" s="357">
        <v>57.922394419372722</v>
      </c>
      <c r="X161" s="357">
        <v>54.9213788607467</v>
      </c>
      <c r="Y161" s="357">
        <v>52.032046900832938</v>
      </c>
      <c r="Z161" s="357">
        <v>49.243144664442298</v>
      </c>
      <c r="AA161" s="357">
        <v>46.544148366396257</v>
      </c>
      <c r="AB161" s="357">
        <v>43.92519666719636</v>
      </c>
      <c r="AC161" s="357">
        <v>41.377028752694969</v>
      </c>
      <c r="AD161" s="357">
        <v>38.890927568507323</v>
      </c>
      <c r="AE161" s="357">
        <v>36.458667695709664</v>
      </c>
      <c r="AF161" s="357">
        <v>34.072467403097107</v>
      </c>
      <c r="AG161" s="357">
        <v>31.724944455567311</v>
      </c>
      <c r="AH161" s="357">
        <v>29.409075297127856</v>
      </c>
      <c r="AI161" s="357">
        <v>27.118157262104432</v>
      </c>
      <c r="AJ161" s="357">
        <v>24.845773498907874</v>
      </c>
      <c r="AK161" s="357">
        <v>22.585760318776011</v>
      </c>
      <c r="AL161" s="357">
        <v>19.847920579093625</v>
      </c>
    </row>
    <row r="162" spans="1:40">
      <c r="C162" s="417"/>
      <c r="E162" s="249" t="s">
        <v>386</v>
      </c>
      <c r="F162" s="356">
        <v>0</v>
      </c>
      <c r="G162" s="357">
        <v>14.002196374371012</v>
      </c>
      <c r="H162" s="357">
        <v>66.268413025175136</v>
      </c>
      <c r="I162" s="357">
        <v>3317.294331786748</v>
      </c>
      <c r="J162" s="357">
        <v>5055.950428332877</v>
      </c>
      <c r="K162" s="357">
        <v>1434.6164928410763</v>
      </c>
      <c r="L162" s="357">
        <v>996.055904468476</v>
      </c>
      <c r="M162" s="357">
        <v>762.93776007642373</v>
      </c>
      <c r="N162" s="357">
        <v>120.62120196594515</v>
      </c>
      <c r="O162" s="357">
        <v>65.785157264079317</v>
      </c>
      <c r="P162" s="357">
        <v>71.071627952676863</v>
      </c>
      <c r="Q162" s="357">
        <v>77.657066588233647</v>
      </c>
      <c r="R162" s="357">
        <v>-61.521187564429056</v>
      </c>
      <c r="S162" s="357">
        <v>-60.861078799829556</v>
      </c>
      <c r="T162" s="357">
        <v>-57.991025371313299</v>
      </c>
      <c r="U162" s="357">
        <v>-55.245361498278726</v>
      </c>
      <c r="V162" s="357">
        <v>-52.612232158409824</v>
      </c>
      <c r="W162" s="357">
        <v>-50.080613173009624</v>
      </c>
      <c r="X162" s="357">
        <v>-47.640234941627568</v>
      </c>
      <c r="Y162" s="357">
        <v>-45.281512956908045</v>
      </c>
      <c r="Z162" s="357">
        <v>-42.995484424711321</v>
      </c>
      <c r="AA162" s="357">
        <v>-40.773750382444632</v>
      </c>
      <c r="AB162" s="357">
        <v>-38.608422769159006</v>
      </c>
      <c r="AC162" s="357">
        <v>-36.492075955413384</v>
      </c>
      <c r="AD162" s="357">
        <v>-34.417702288805231</v>
      </c>
      <c r="AE162" s="357">
        <v>-32.378671254384244</v>
      </c>
      <c r="AF162" s="357">
        <v>-30.368691887464593</v>
      </c>
      <c r="AG162" s="357">
        <v>-28.381778110611776</v>
      </c>
      <c r="AH162" s="357">
        <v>-26.412216697184704</v>
      </c>
      <c r="AI162" s="357">
        <v>-24.45453759089105</v>
      </c>
      <c r="AJ162" s="357">
        <v>-22.503486335195703</v>
      </c>
      <c r="AK162" s="357">
        <v>-20.553998387860702</v>
      </c>
      <c r="AL162" s="357">
        <v>-18.223455336164989</v>
      </c>
    </row>
    <row r="163" spans="1:40">
      <c r="C163" s="417"/>
      <c r="E163" s="249" t="s">
        <v>387</v>
      </c>
      <c r="F163" s="356">
        <v>0</v>
      </c>
      <c r="G163" s="357">
        <v>0</v>
      </c>
      <c r="H163" s="357">
        <v>0</v>
      </c>
      <c r="I163" s="357">
        <v>-1001.1937766122977</v>
      </c>
      <c r="J163" s="357">
        <v>-1682.1950876975102</v>
      </c>
      <c r="K163" s="357">
        <v>-472.88755104596657</v>
      </c>
      <c r="L163" s="357">
        <v>-328.67677484702381</v>
      </c>
      <c r="M163" s="357">
        <v>-250.88749424080879</v>
      </c>
      <c r="N163" s="357">
        <v>-36.696585887325455</v>
      </c>
      <c r="O163" s="357">
        <v>-18.330300943020575</v>
      </c>
      <c r="P163" s="357">
        <v>-20.002580582209248</v>
      </c>
      <c r="Q163" s="357">
        <v>-22.105514525090712</v>
      </c>
      <c r="R163" s="357">
        <v>24.381846964306988</v>
      </c>
      <c r="S163" s="357">
        <v>24.258883215277365</v>
      </c>
      <c r="T163" s="357">
        <v>23.40179999956581</v>
      </c>
      <c r="U163" s="357">
        <v>22.588776917869836</v>
      </c>
      <c r="V163" s="357">
        <v>21.815932382768551</v>
      </c>
      <c r="W163" s="357">
        <v>21.07966370088252</v>
      </c>
      <c r="X163" s="357">
        <v>20.376621706333481</v>
      </c>
      <c r="Y163" s="357">
        <v>19.703687655880003</v>
      </c>
      <c r="Z163" s="357">
        <v>19.057952160790592</v>
      </c>
      <c r="AA163" s="357">
        <v>18.43669595312258</v>
      </c>
      <c r="AB163" s="357">
        <v>17.837372304358723</v>
      </c>
      <c r="AC163" s="357">
        <v>17.257590932396397</v>
      </c>
      <c r="AD163" s="357">
        <v>16.695103248946907</v>
      </c>
      <c r="AE163" s="357">
        <v>16.147788813797888</v>
      </c>
      <c r="AF163" s="357">
        <v>15.613642875139249</v>
      </c>
      <c r="AG163" s="357">
        <v>15.090764886647776</v>
      </c>
      <c r="AH163" s="357">
        <v>14.577347902143174</v>
      </c>
      <c r="AI163" s="357">
        <v>14.071668757700991</v>
      </c>
      <c r="AJ163" s="357">
        <v>13.572078959273313</v>
      </c>
      <c r="AK163" s="357">
        <v>13.076996200906251</v>
      </c>
      <c r="AL163" s="357">
        <v>12.458989852175819</v>
      </c>
    </row>
    <row r="164" spans="1:40">
      <c r="C164" s="417"/>
      <c r="E164" s="250"/>
      <c r="F164" s="356"/>
      <c r="G164" s="357"/>
      <c r="H164" s="357"/>
      <c r="I164" s="357"/>
      <c r="J164" s="357"/>
      <c r="K164" s="357"/>
      <c r="L164" s="357"/>
      <c r="M164" s="357"/>
      <c r="N164" s="357"/>
      <c r="O164" s="357"/>
      <c r="P164" s="357"/>
      <c r="Q164" s="357"/>
      <c r="R164" s="357"/>
      <c r="S164" s="357"/>
      <c r="T164" s="357"/>
      <c r="U164" s="357"/>
      <c r="V164" s="357"/>
      <c r="W164" s="357"/>
      <c r="X164" s="357"/>
      <c r="Y164" s="357"/>
      <c r="Z164" s="357"/>
      <c r="AA164" s="357"/>
      <c r="AB164" s="357"/>
      <c r="AC164" s="357"/>
      <c r="AD164" s="357"/>
      <c r="AE164" s="357"/>
      <c r="AF164" s="357"/>
      <c r="AG164" s="357"/>
      <c r="AH164" s="357"/>
      <c r="AI164" s="357"/>
      <c r="AJ164" s="357"/>
      <c r="AK164" s="357"/>
      <c r="AL164" s="357"/>
    </row>
    <row r="165" spans="1:40" s="60" customFormat="1">
      <c r="A165" s="59"/>
      <c r="B165" s="18"/>
      <c r="C165" s="418"/>
      <c r="E165" s="248" t="s">
        <v>414</v>
      </c>
      <c r="F165" s="354">
        <v>0</v>
      </c>
      <c r="G165" s="355">
        <v>-89433.536907000002</v>
      </c>
      <c r="H165" s="355">
        <v>-94019.872132999997</v>
      </c>
      <c r="I165" s="355">
        <v>-45863.352259999992</v>
      </c>
      <c r="J165" s="355">
        <v>-25018.167613000001</v>
      </c>
      <c r="K165" s="355">
        <v>-30293.167613000001</v>
      </c>
      <c r="L165" s="355">
        <v>-2793.1676130000001</v>
      </c>
      <c r="M165" s="355">
        <v>-2793.1676130000001</v>
      </c>
      <c r="N165" s="355">
        <v>-2793.1676130000001</v>
      </c>
      <c r="O165" s="355">
        <v>-2793.1676130000001</v>
      </c>
      <c r="P165" s="355">
        <v>-2793.1676130000001</v>
      </c>
      <c r="Q165" s="355">
        <v>-2793.1676130000001</v>
      </c>
      <c r="R165" s="355">
        <v>-2793.1676130000001</v>
      </c>
      <c r="S165" s="355">
        <v>-2793.1676130000001</v>
      </c>
      <c r="T165" s="355">
        <v>-2793.1676130000001</v>
      </c>
      <c r="U165" s="355">
        <v>-2793.1676130000001</v>
      </c>
      <c r="V165" s="355">
        <v>-2793.1676130000001</v>
      </c>
      <c r="W165" s="355">
        <v>-2793.1676130000001</v>
      </c>
      <c r="X165" s="355">
        <v>-2793.1676130000001</v>
      </c>
      <c r="Y165" s="355">
        <v>-2793.1676130000001</v>
      </c>
      <c r="Z165" s="355">
        <v>-2793.1676130000001</v>
      </c>
      <c r="AA165" s="355">
        <v>-2793.1676130000001</v>
      </c>
      <c r="AB165" s="355">
        <v>-2793.1676130000001</v>
      </c>
      <c r="AC165" s="355">
        <v>-2793.1676130000001</v>
      </c>
      <c r="AD165" s="355">
        <v>-2793.1676130000001</v>
      </c>
      <c r="AE165" s="355">
        <v>-2793.1676130000001</v>
      </c>
      <c r="AF165" s="355">
        <v>-2793.1676130000001</v>
      </c>
      <c r="AG165" s="355">
        <v>-2793.1676130000001</v>
      </c>
      <c r="AH165" s="355">
        <v>-2793.1676130000001</v>
      </c>
      <c r="AI165" s="355">
        <v>-2793.1676130000001</v>
      </c>
      <c r="AJ165" s="355">
        <v>-2793.1676130000001</v>
      </c>
      <c r="AK165" s="355">
        <v>-2793.1676130000001</v>
      </c>
      <c r="AL165" s="355">
        <v>0</v>
      </c>
      <c r="AN165" s="59"/>
    </row>
    <row r="166" spans="1:40">
      <c r="C166" s="417"/>
      <c r="E166" s="250"/>
      <c r="F166" s="356"/>
      <c r="G166" s="357"/>
      <c r="H166" s="357"/>
      <c r="I166" s="357"/>
      <c r="J166" s="357"/>
      <c r="K166" s="357"/>
      <c r="L166" s="357"/>
      <c r="M166" s="357"/>
      <c r="N166" s="357"/>
      <c r="O166" s="357"/>
      <c r="P166" s="357"/>
      <c r="Q166" s="357"/>
      <c r="R166" s="357"/>
      <c r="S166" s="357"/>
      <c r="T166" s="357"/>
      <c r="U166" s="357"/>
      <c r="V166" s="357"/>
      <c r="W166" s="357"/>
      <c r="X166" s="357"/>
      <c r="Y166" s="357"/>
      <c r="Z166" s="357"/>
      <c r="AA166" s="357"/>
      <c r="AB166" s="357"/>
      <c r="AC166" s="357"/>
      <c r="AD166" s="357"/>
      <c r="AE166" s="357"/>
      <c r="AF166" s="357"/>
      <c r="AG166" s="357"/>
      <c r="AH166" s="357"/>
      <c r="AI166" s="357"/>
      <c r="AJ166" s="357"/>
      <c r="AK166" s="357"/>
      <c r="AL166" s="357"/>
    </row>
    <row r="167" spans="1:40" s="60" customFormat="1">
      <c r="A167" s="59"/>
      <c r="B167" s="18"/>
      <c r="C167" s="418"/>
      <c r="E167" s="248" t="s">
        <v>392</v>
      </c>
      <c r="F167" s="354">
        <v>0</v>
      </c>
      <c r="G167" s="355">
        <v>0</v>
      </c>
      <c r="H167" s="355">
        <v>0</v>
      </c>
      <c r="I167" s="355">
        <v>0</v>
      </c>
      <c r="J167" s="355">
        <v>0</v>
      </c>
      <c r="K167" s="355">
        <v>0</v>
      </c>
      <c r="L167" s="355">
        <v>0</v>
      </c>
      <c r="M167" s="355">
        <v>0</v>
      </c>
      <c r="N167" s="355">
        <v>0</v>
      </c>
      <c r="O167" s="355">
        <v>0</v>
      </c>
      <c r="P167" s="355">
        <v>0</v>
      </c>
      <c r="Q167" s="355">
        <v>0</v>
      </c>
      <c r="R167" s="355">
        <v>0</v>
      </c>
      <c r="S167" s="355">
        <v>0</v>
      </c>
      <c r="T167" s="355">
        <v>0</v>
      </c>
      <c r="U167" s="355">
        <v>0</v>
      </c>
      <c r="V167" s="355">
        <v>0</v>
      </c>
      <c r="W167" s="355">
        <v>0</v>
      </c>
      <c r="X167" s="355">
        <v>0</v>
      </c>
      <c r="Y167" s="355">
        <v>0</v>
      </c>
      <c r="Z167" s="355">
        <v>0</v>
      </c>
      <c r="AA167" s="355">
        <v>0</v>
      </c>
      <c r="AB167" s="355">
        <v>0</v>
      </c>
      <c r="AC167" s="355">
        <v>0</v>
      </c>
      <c r="AD167" s="355">
        <v>0</v>
      </c>
      <c r="AE167" s="355">
        <v>0</v>
      </c>
      <c r="AF167" s="355">
        <v>0</v>
      </c>
      <c r="AG167" s="355">
        <v>0</v>
      </c>
      <c r="AH167" s="355">
        <v>0</v>
      </c>
      <c r="AI167" s="355">
        <v>0</v>
      </c>
      <c r="AJ167" s="355">
        <v>0</v>
      </c>
      <c r="AK167" s="355">
        <v>0</v>
      </c>
      <c r="AL167" s="355">
        <v>0</v>
      </c>
      <c r="AN167" s="59"/>
    </row>
    <row r="168" spans="1:40">
      <c r="C168" s="417"/>
      <c r="E168" s="249" t="s">
        <v>415</v>
      </c>
      <c r="F168" s="356">
        <v>0</v>
      </c>
      <c r="G168" s="357">
        <v>0</v>
      </c>
      <c r="H168" s="357">
        <v>0</v>
      </c>
      <c r="I168" s="357">
        <v>0</v>
      </c>
      <c r="J168" s="357">
        <v>0</v>
      </c>
      <c r="K168" s="357">
        <v>0</v>
      </c>
      <c r="L168" s="357">
        <v>0</v>
      </c>
      <c r="M168" s="357">
        <v>0</v>
      </c>
      <c r="N168" s="357">
        <v>0</v>
      </c>
      <c r="O168" s="357">
        <v>0</v>
      </c>
      <c r="P168" s="357">
        <v>0</v>
      </c>
      <c r="Q168" s="357">
        <v>0</v>
      </c>
      <c r="R168" s="357">
        <v>0</v>
      </c>
      <c r="S168" s="357">
        <v>0</v>
      </c>
      <c r="T168" s="357">
        <v>0</v>
      </c>
      <c r="U168" s="357">
        <v>0</v>
      </c>
      <c r="V168" s="357">
        <v>0</v>
      </c>
      <c r="W168" s="357">
        <v>0</v>
      </c>
      <c r="X168" s="357">
        <v>0</v>
      </c>
      <c r="Y168" s="357">
        <v>0</v>
      </c>
      <c r="Z168" s="357">
        <v>0</v>
      </c>
      <c r="AA168" s="357">
        <v>0</v>
      </c>
      <c r="AB168" s="357">
        <v>0</v>
      </c>
      <c r="AC168" s="357">
        <v>0</v>
      </c>
      <c r="AD168" s="357">
        <v>0</v>
      </c>
      <c r="AE168" s="357">
        <v>0</v>
      </c>
      <c r="AF168" s="357">
        <v>0</v>
      </c>
      <c r="AG168" s="357">
        <v>0</v>
      </c>
      <c r="AH168" s="357">
        <v>0</v>
      </c>
      <c r="AI168" s="357">
        <v>0</v>
      </c>
      <c r="AJ168" s="357">
        <v>0</v>
      </c>
      <c r="AK168" s="357">
        <v>0</v>
      </c>
      <c r="AL168" s="357">
        <v>0</v>
      </c>
    </row>
    <row r="169" spans="1:40">
      <c r="C169" s="417"/>
      <c r="E169" s="249" t="s">
        <v>416</v>
      </c>
      <c r="F169" s="356">
        <v>0</v>
      </c>
      <c r="G169" s="357">
        <v>0</v>
      </c>
      <c r="H169" s="357">
        <v>0</v>
      </c>
      <c r="I169" s="357">
        <v>0</v>
      </c>
      <c r="J169" s="357">
        <v>0</v>
      </c>
      <c r="K169" s="357">
        <v>0</v>
      </c>
      <c r="L169" s="357">
        <v>0</v>
      </c>
      <c r="M169" s="357">
        <v>0</v>
      </c>
      <c r="N169" s="357">
        <v>0</v>
      </c>
      <c r="O169" s="357">
        <v>0</v>
      </c>
      <c r="P169" s="357">
        <v>0</v>
      </c>
      <c r="Q169" s="357">
        <v>0</v>
      </c>
      <c r="R169" s="357">
        <v>0</v>
      </c>
      <c r="S169" s="357">
        <v>0</v>
      </c>
      <c r="T169" s="357">
        <v>0</v>
      </c>
      <c r="U169" s="357">
        <v>0</v>
      </c>
      <c r="V169" s="357">
        <v>0</v>
      </c>
      <c r="W169" s="357">
        <v>0</v>
      </c>
      <c r="X169" s="357">
        <v>0</v>
      </c>
      <c r="Y169" s="357">
        <v>0</v>
      </c>
      <c r="Z169" s="357">
        <v>0</v>
      </c>
      <c r="AA169" s="357">
        <v>0</v>
      </c>
      <c r="AB169" s="357">
        <v>0</v>
      </c>
      <c r="AC169" s="357">
        <v>0</v>
      </c>
      <c r="AD169" s="357">
        <v>0</v>
      </c>
      <c r="AE169" s="357">
        <v>0</v>
      </c>
      <c r="AF169" s="357">
        <v>0</v>
      </c>
      <c r="AG169" s="357">
        <v>0</v>
      </c>
      <c r="AH169" s="357">
        <v>0</v>
      </c>
      <c r="AI169" s="357">
        <v>0</v>
      </c>
      <c r="AJ169" s="357">
        <v>0</v>
      </c>
      <c r="AK169" s="357">
        <v>0</v>
      </c>
      <c r="AL169" s="357">
        <v>0</v>
      </c>
    </row>
    <row r="170" spans="1:40" s="60" customFormat="1">
      <c r="A170" s="59"/>
      <c r="B170" s="18"/>
      <c r="C170" s="418"/>
      <c r="E170" s="251" t="s">
        <v>261</v>
      </c>
      <c r="F170" s="358">
        <v>0</v>
      </c>
      <c r="G170" s="359">
        <v>-89533.108081217753</v>
      </c>
      <c r="H170" s="359">
        <v>-94604.687551771145</v>
      </c>
      <c r="I170" s="359">
        <v>-32931.140593694014</v>
      </c>
      <c r="J170" s="359">
        <v>7804.6231516796142</v>
      </c>
      <c r="K170" s="359">
        <v>13598.841712508151</v>
      </c>
      <c r="L170" s="359">
        <v>48295.656202326383</v>
      </c>
      <c r="M170" s="359">
        <v>53798.0435621344</v>
      </c>
      <c r="N170" s="359">
        <v>55330.659705163103</v>
      </c>
      <c r="O170" s="359">
        <v>55934.885600720343</v>
      </c>
      <c r="P170" s="359">
        <v>56502.464961340702</v>
      </c>
      <c r="Q170" s="359">
        <v>57111.12935737591</v>
      </c>
      <c r="R170" s="359">
        <v>56922.826179296389</v>
      </c>
      <c r="S170" s="359">
        <v>56604.526206658156</v>
      </c>
      <c r="T170" s="359">
        <v>56297.978431571108</v>
      </c>
      <c r="U170" s="359">
        <v>56009.026876862132</v>
      </c>
      <c r="V170" s="359">
        <v>55736.827744109381</v>
      </c>
      <c r="W170" s="359">
        <v>55480.610469765546</v>
      </c>
      <c r="X170" s="359">
        <v>54283.771896165439</v>
      </c>
      <c r="Y170" s="359">
        <v>53907.364751283538</v>
      </c>
      <c r="Z170" s="359">
        <v>53513.366906555937</v>
      </c>
      <c r="AA170" s="359">
        <v>53297.902674085417</v>
      </c>
      <c r="AB170" s="359">
        <v>53095.497648867677</v>
      </c>
      <c r="AC170" s="359">
        <v>52905.725443690055</v>
      </c>
      <c r="AD170" s="359">
        <v>52728.204726875862</v>
      </c>
      <c r="AE170" s="359">
        <v>52562.596537923404</v>
      </c>
      <c r="AF170" s="359">
        <v>52408.601858581591</v>
      </c>
      <c r="AG170" s="359">
        <v>52265.959419157181</v>
      </c>
      <c r="AH170" s="359">
        <v>52134.443721895637</v>
      </c>
      <c r="AI170" s="359">
        <v>52013.863265131411</v>
      </c>
      <c r="AJ170" s="359">
        <v>51904.058953597465</v>
      </c>
      <c r="AK170" s="359">
        <v>51804.90268182203</v>
      </c>
      <c r="AL170" s="359">
        <v>54495.045774093705</v>
      </c>
      <c r="AN170" s="59"/>
    </row>
    <row r="171" spans="1:40" ht="4.5" customHeight="1">
      <c r="C171" s="417"/>
      <c r="E171" s="250"/>
      <c r="F171" s="356"/>
      <c r="G171" s="357"/>
      <c r="H171" s="357"/>
      <c r="I171" s="357"/>
      <c r="J171" s="357"/>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row>
    <row r="172" spans="1:40" s="60" customFormat="1">
      <c r="A172" s="59"/>
      <c r="B172" s="18"/>
      <c r="C172" s="418"/>
      <c r="E172" s="252" t="s">
        <v>95</v>
      </c>
      <c r="F172" s="360"/>
      <c r="G172" s="361"/>
      <c r="H172" s="361"/>
      <c r="I172" s="361"/>
      <c r="J172" s="361"/>
      <c r="K172" s="361"/>
      <c r="L172" s="361"/>
      <c r="M172" s="361"/>
      <c r="N172" s="361"/>
      <c r="O172" s="361"/>
      <c r="P172" s="361"/>
      <c r="Q172" s="361"/>
      <c r="R172" s="361"/>
      <c r="S172" s="361"/>
      <c r="T172" s="361"/>
      <c r="U172" s="361"/>
      <c r="V172" s="361"/>
      <c r="W172" s="361"/>
      <c r="X172" s="361"/>
      <c r="Y172" s="361"/>
      <c r="Z172" s="361"/>
      <c r="AA172" s="361"/>
      <c r="AB172" s="361"/>
      <c r="AC172" s="361"/>
      <c r="AD172" s="361"/>
      <c r="AE172" s="361"/>
      <c r="AF172" s="361"/>
      <c r="AG172" s="361"/>
      <c r="AH172" s="361"/>
      <c r="AI172" s="361"/>
      <c r="AJ172" s="361"/>
      <c r="AK172" s="361"/>
      <c r="AL172" s="361"/>
      <c r="AM172" s="253"/>
      <c r="AN172" s="254"/>
    </row>
    <row r="173" spans="1:40" ht="4.5" customHeight="1">
      <c r="C173" s="417"/>
      <c r="E173" s="250"/>
      <c r="F173" s="356"/>
      <c r="G173" s="357"/>
      <c r="H173" s="357"/>
      <c r="I173" s="357"/>
      <c r="J173" s="357"/>
      <c r="K173" s="357"/>
      <c r="L173" s="357"/>
      <c r="M173" s="357"/>
      <c r="N173" s="357"/>
      <c r="O173" s="357"/>
      <c r="P173" s="357"/>
      <c r="Q173" s="357"/>
      <c r="R173" s="357"/>
      <c r="S173" s="357"/>
      <c r="T173" s="357"/>
      <c r="U173" s="357"/>
      <c r="V173" s="357"/>
      <c r="W173" s="357"/>
      <c r="X173" s="357"/>
      <c r="Y173" s="357"/>
      <c r="Z173" s="357"/>
      <c r="AA173" s="357"/>
      <c r="AB173" s="357"/>
      <c r="AC173" s="357"/>
      <c r="AD173" s="357"/>
      <c r="AE173" s="357"/>
      <c r="AF173" s="357"/>
      <c r="AG173" s="357"/>
      <c r="AH173" s="357"/>
      <c r="AI173" s="357"/>
      <c r="AJ173" s="357"/>
      <c r="AK173" s="357"/>
      <c r="AL173" s="357"/>
    </row>
    <row r="174" spans="1:40" s="60" customFormat="1">
      <c r="A174" s="59"/>
      <c r="B174" s="18"/>
      <c r="C174" s="418"/>
      <c r="E174" s="255" t="s">
        <v>321</v>
      </c>
      <c r="F174" s="362"/>
      <c r="G174" s="363"/>
      <c r="H174" s="363"/>
      <c r="I174" s="363"/>
      <c r="J174" s="363"/>
      <c r="K174" s="363"/>
      <c r="L174" s="363"/>
      <c r="M174" s="363"/>
      <c r="N174" s="363"/>
      <c r="O174" s="363"/>
      <c r="P174" s="363"/>
      <c r="Q174" s="363"/>
      <c r="R174" s="363"/>
      <c r="S174" s="363"/>
      <c r="T174" s="363"/>
      <c r="U174" s="363"/>
      <c r="V174" s="363"/>
      <c r="W174" s="363"/>
      <c r="X174" s="363"/>
      <c r="Y174" s="363"/>
      <c r="Z174" s="363"/>
      <c r="AA174" s="363"/>
      <c r="AB174" s="363"/>
      <c r="AC174" s="363"/>
      <c r="AD174" s="363"/>
      <c r="AE174" s="363"/>
      <c r="AF174" s="363"/>
      <c r="AG174" s="363"/>
      <c r="AH174" s="363"/>
      <c r="AI174" s="363"/>
      <c r="AJ174" s="363"/>
      <c r="AK174" s="363"/>
      <c r="AL174" s="363"/>
      <c r="AN174" s="59"/>
    </row>
    <row r="175" spans="1:40">
      <c r="C175" s="417"/>
      <c r="E175" s="249" t="s">
        <v>345</v>
      </c>
      <c r="F175" s="356">
        <v>0</v>
      </c>
      <c r="G175" s="357">
        <v>0</v>
      </c>
      <c r="H175" s="357">
        <v>0</v>
      </c>
      <c r="I175" s="357">
        <v>24362.381897565909</v>
      </c>
      <c r="J175" s="357">
        <v>65295.795698205329</v>
      </c>
      <c r="K175" s="357">
        <v>76802.726106990522</v>
      </c>
      <c r="L175" s="357">
        <v>84800.527628268086</v>
      </c>
      <c r="M175" s="357">
        <v>90905.456654794441</v>
      </c>
      <c r="N175" s="357">
        <v>91798.406911386031</v>
      </c>
      <c r="O175" s="357">
        <v>92244.444234332856</v>
      </c>
      <c r="P175" s="357">
        <v>92731.173695166624</v>
      </c>
      <c r="Q175" s="357">
        <v>93269.074548610501</v>
      </c>
      <c r="R175" s="357">
        <v>92675.782939145691</v>
      </c>
      <c r="S175" s="357">
        <v>92085.483447573934</v>
      </c>
      <c r="T175" s="357">
        <v>91516.039647584505</v>
      </c>
      <c r="U175" s="357">
        <v>90966.379409249668</v>
      </c>
      <c r="V175" s="357">
        <v>90435.525054602316</v>
      </c>
      <c r="W175" s="357">
        <v>89922.586571214168</v>
      </c>
      <c r="X175" s="357">
        <v>89426.755443026719</v>
      </c>
      <c r="Y175" s="357">
        <v>88947.2990434003</v>
      </c>
      <c r="Z175" s="357">
        <v>88483.555540821064</v>
      </c>
      <c r="AA175" s="357">
        <v>88034.929272628418</v>
      </c>
      <c r="AB175" s="357">
        <v>87600.886546555688</v>
      </c>
      <c r="AC175" s="357">
        <v>87180.951833867381</v>
      </c>
      <c r="AD175" s="357">
        <v>86774.70432147634</v>
      </c>
      <c r="AE175" s="357">
        <v>86381.774793673918</v>
      </c>
      <c r="AF175" s="357">
        <v>86001.84281704553</v>
      </c>
      <c r="AG175" s="357">
        <v>85634.634204803762</v>
      </c>
      <c r="AH175" s="357">
        <v>85279.918739184955</v>
      </c>
      <c r="AI175" s="357">
        <v>84937.508132747564</v>
      </c>
      <c r="AJ175" s="357">
        <v>84607.254211405234</v>
      </c>
      <c r="AK175" s="357">
        <v>84289.04730384986</v>
      </c>
      <c r="AL175" s="357">
        <v>83985.878550780239</v>
      </c>
    </row>
    <row r="176" spans="1:40">
      <c r="C176" s="417"/>
      <c r="E176" s="249" t="s">
        <v>417</v>
      </c>
      <c r="F176" s="364">
        <v>0</v>
      </c>
      <c r="G176" s="365">
        <v>0</v>
      </c>
      <c r="H176" s="365">
        <v>0</v>
      </c>
      <c r="I176" s="365">
        <v>15</v>
      </c>
      <c r="J176" s="365">
        <v>15</v>
      </c>
      <c r="K176" s="365">
        <v>15</v>
      </c>
      <c r="L176" s="365">
        <v>15</v>
      </c>
      <c r="M176" s="365">
        <v>15</v>
      </c>
      <c r="N176" s="365">
        <v>15</v>
      </c>
      <c r="O176" s="365">
        <v>15</v>
      </c>
      <c r="P176" s="365">
        <v>15</v>
      </c>
      <c r="Q176" s="365">
        <v>15</v>
      </c>
      <c r="R176" s="365">
        <v>15</v>
      </c>
      <c r="S176" s="365">
        <v>15</v>
      </c>
      <c r="T176" s="365">
        <v>15</v>
      </c>
      <c r="U176" s="365">
        <v>15</v>
      </c>
      <c r="V176" s="365">
        <v>15</v>
      </c>
      <c r="W176" s="365">
        <v>15</v>
      </c>
      <c r="X176" s="365">
        <v>15</v>
      </c>
      <c r="Y176" s="365">
        <v>15</v>
      </c>
      <c r="Z176" s="365">
        <v>15</v>
      </c>
      <c r="AA176" s="365">
        <v>15</v>
      </c>
      <c r="AB176" s="365">
        <v>15</v>
      </c>
      <c r="AC176" s="365">
        <v>15</v>
      </c>
      <c r="AD176" s="365">
        <v>15</v>
      </c>
      <c r="AE176" s="365">
        <v>15</v>
      </c>
      <c r="AF176" s="365">
        <v>15</v>
      </c>
      <c r="AG176" s="365">
        <v>15</v>
      </c>
      <c r="AH176" s="365">
        <v>15</v>
      </c>
      <c r="AI176" s="365">
        <v>15</v>
      </c>
      <c r="AJ176" s="365">
        <v>15</v>
      </c>
      <c r="AK176" s="365">
        <v>15</v>
      </c>
      <c r="AL176" s="365">
        <v>15</v>
      </c>
    </row>
    <row r="177" spans="1:40" s="60" customFormat="1">
      <c r="A177" s="59"/>
      <c r="B177" s="18"/>
      <c r="C177" s="418"/>
      <c r="E177" s="255" t="s">
        <v>418</v>
      </c>
      <c r="F177" s="362">
        <v>0</v>
      </c>
      <c r="G177" s="363">
        <v>0</v>
      </c>
      <c r="H177" s="363">
        <v>0</v>
      </c>
      <c r="I177" s="363">
        <v>-1001.1937766122977</v>
      </c>
      <c r="J177" s="363">
        <v>-2683.388864309808</v>
      </c>
      <c r="K177" s="363">
        <v>-3156.2764153557746</v>
      </c>
      <c r="L177" s="363">
        <v>-3484.9531902027984</v>
      </c>
      <c r="M177" s="363">
        <v>-3735.8406844436072</v>
      </c>
      <c r="N177" s="363">
        <v>-3772.5372703309326</v>
      </c>
      <c r="O177" s="363">
        <v>-3790.8675712739532</v>
      </c>
      <c r="P177" s="363">
        <v>-3810.8701518561625</v>
      </c>
      <c r="Q177" s="363">
        <v>-3832.9756663812532</v>
      </c>
      <c r="R177" s="363">
        <v>-3808.5938194169462</v>
      </c>
      <c r="S177" s="363">
        <v>-3784.3349362016688</v>
      </c>
      <c r="T177" s="363">
        <v>-3760.933136202103</v>
      </c>
      <c r="U177" s="363">
        <v>-3738.3443592842332</v>
      </c>
      <c r="V177" s="363">
        <v>-3716.5284269014646</v>
      </c>
      <c r="W177" s="363">
        <v>-3695.4487632005821</v>
      </c>
      <c r="X177" s="363">
        <v>-3675.0721414942486</v>
      </c>
      <c r="Y177" s="363">
        <v>-3655.3684538383686</v>
      </c>
      <c r="Z177" s="363">
        <v>-3636.310501677578</v>
      </c>
      <c r="AA177" s="363">
        <v>-3617.8738057244555</v>
      </c>
      <c r="AB177" s="363">
        <v>-3600.0364334200967</v>
      </c>
      <c r="AC177" s="363">
        <v>-3582.7788424877003</v>
      </c>
      <c r="AD177" s="363">
        <v>-3566.0837392387534</v>
      </c>
      <c r="AE177" s="363">
        <v>-3549.9359504249555</v>
      </c>
      <c r="AF177" s="363">
        <v>-3534.3223075498163</v>
      </c>
      <c r="AG177" s="363">
        <v>-3519.2315426631685</v>
      </c>
      <c r="AH177" s="363">
        <v>-3504.6541947610253</v>
      </c>
      <c r="AI177" s="363">
        <v>-3490.5825260033243</v>
      </c>
      <c r="AJ177" s="363">
        <v>-3477.010447044051</v>
      </c>
      <c r="AK177" s="363">
        <v>-3463.9334508431448</v>
      </c>
      <c r="AL177" s="363">
        <v>-3451.474460990969</v>
      </c>
      <c r="AN177" s="59"/>
    </row>
    <row r="178" spans="1:40" ht="4.5" customHeight="1">
      <c r="C178" s="417"/>
      <c r="E178" s="250"/>
      <c r="F178" s="356"/>
      <c r="G178" s="357"/>
      <c r="H178" s="357"/>
      <c r="I178" s="357"/>
      <c r="J178" s="357"/>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row>
    <row r="179" spans="1:40" s="60" customFormat="1">
      <c r="A179" s="59"/>
      <c r="B179" s="18"/>
      <c r="C179" s="418"/>
      <c r="E179" s="255" t="s">
        <v>347</v>
      </c>
      <c r="F179" s="362"/>
      <c r="G179" s="363"/>
      <c r="H179" s="363"/>
      <c r="I179" s="363"/>
      <c r="J179" s="363"/>
      <c r="K179" s="363"/>
      <c r="L179" s="363"/>
      <c r="M179" s="363"/>
      <c r="N179" s="363"/>
      <c r="O179" s="363"/>
      <c r="P179" s="363"/>
      <c r="Q179" s="363"/>
      <c r="R179" s="363"/>
      <c r="S179" s="363"/>
      <c r="T179" s="363"/>
      <c r="U179" s="363"/>
      <c r="V179" s="363"/>
      <c r="W179" s="363"/>
      <c r="X179" s="363"/>
      <c r="Y179" s="363"/>
      <c r="Z179" s="363"/>
      <c r="AA179" s="363"/>
      <c r="AB179" s="363"/>
      <c r="AC179" s="363"/>
      <c r="AD179" s="363"/>
      <c r="AE179" s="363"/>
      <c r="AF179" s="363"/>
      <c r="AG179" s="363"/>
      <c r="AH179" s="363"/>
      <c r="AI179" s="363"/>
      <c r="AJ179" s="363"/>
      <c r="AK179" s="363"/>
      <c r="AL179" s="363"/>
      <c r="AN179" s="59"/>
    </row>
    <row r="180" spans="1:40">
      <c r="C180" s="417"/>
      <c r="E180" s="249" t="s">
        <v>103</v>
      </c>
      <c r="F180" s="356">
        <v>0</v>
      </c>
      <c r="G180" s="357">
        <v>0</v>
      </c>
      <c r="H180" s="357">
        <v>0</v>
      </c>
      <c r="I180" s="357">
        <v>41710.161945149048</v>
      </c>
      <c r="J180" s="357">
        <v>105218.97169650201</v>
      </c>
      <c r="K180" s="357">
        <v>127770.87089928481</v>
      </c>
      <c r="L180" s="357">
        <v>143442.16232057725</v>
      </c>
      <c r="M180" s="357">
        <v>155503.20981309927</v>
      </c>
      <c r="N180" s="357">
        <v>157729.54952136631</v>
      </c>
      <c r="O180" s="357">
        <v>158848.79110179882</v>
      </c>
      <c r="P180" s="357">
        <v>160032.4001374355</v>
      </c>
      <c r="Q180" s="357">
        <v>161316.91914032138</v>
      </c>
      <c r="R180" s="357">
        <v>160505.08506937092</v>
      </c>
      <c r="S180" s="357">
        <v>159637.62277117689</v>
      </c>
      <c r="T180" s="357">
        <v>158813.68835520366</v>
      </c>
      <c r="U180" s="357">
        <v>158031.267136332</v>
      </c>
      <c r="V180" s="357">
        <v>157288.52679258562</v>
      </c>
      <c r="W180" s="357">
        <v>156583.8043271499</v>
      </c>
      <c r="X180" s="357">
        <v>155915.59421767748</v>
      </c>
      <c r="Y180" s="357">
        <v>155282.53764705069</v>
      </c>
      <c r="Z180" s="357">
        <v>154683.41272029997</v>
      </c>
      <c r="AA180" s="357">
        <v>154117.12558184215</v>
      </c>
      <c r="AB180" s="357">
        <v>153582.70235572458</v>
      </c>
      <c r="AC180" s="357">
        <v>153079.28183923347</v>
      </c>
      <c r="AD180" s="357">
        <v>152606.10888714998</v>
      </c>
      <c r="AE180" s="357">
        <v>152162.52843018548</v>
      </c>
      <c r="AF180" s="357">
        <v>151747.98007678115</v>
      </c>
      <c r="AG180" s="357">
        <v>151361.99325257176</v>
      </c>
      <c r="AH180" s="357">
        <v>151004.18283645669</v>
      </c>
      <c r="AI180" s="357">
        <v>150674.24525643443</v>
      </c>
      <c r="AJ180" s="357">
        <v>150371.95501219769</v>
      </c>
      <c r="AK180" s="357">
        <v>150097.16159498593</v>
      </c>
      <c r="AL180" s="357">
        <v>149855.67856127364</v>
      </c>
    </row>
    <row r="181" spans="1:40">
      <c r="C181" s="417"/>
      <c r="E181" s="249" t="s">
        <v>102</v>
      </c>
      <c r="F181" s="364">
        <v>30</v>
      </c>
      <c r="G181" s="357">
        <v>30</v>
      </c>
      <c r="H181" s="357">
        <v>30</v>
      </c>
      <c r="I181" s="357">
        <v>30</v>
      </c>
      <c r="J181" s="357">
        <v>30</v>
      </c>
      <c r="K181" s="357">
        <v>30</v>
      </c>
      <c r="L181" s="357">
        <v>30</v>
      </c>
      <c r="M181" s="357">
        <v>30</v>
      </c>
      <c r="N181" s="357">
        <v>30</v>
      </c>
      <c r="O181" s="357">
        <v>30</v>
      </c>
      <c r="P181" s="357">
        <v>30</v>
      </c>
      <c r="Q181" s="357">
        <v>30</v>
      </c>
      <c r="R181" s="357">
        <v>30</v>
      </c>
      <c r="S181" s="357">
        <v>30</v>
      </c>
      <c r="T181" s="357">
        <v>30</v>
      </c>
      <c r="U181" s="357">
        <v>30</v>
      </c>
      <c r="V181" s="357">
        <v>30</v>
      </c>
      <c r="W181" s="357">
        <v>30</v>
      </c>
      <c r="X181" s="357">
        <v>30</v>
      </c>
      <c r="Y181" s="357">
        <v>30</v>
      </c>
      <c r="Z181" s="357">
        <v>30</v>
      </c>
      <c r="AA181" s="357">
        <v>30</v>
      </c>
      <c r="AB181" s="357">
        <v>30</v>
      </c>
      <c r="AC181" s="357">
        <v>30</v>
      </c>
      <c r="AD181" s="357">
        <v>30</v>
      </c>
      <c r="AE181" s="357">
        <v>30</v>
      </c>
      <c r="AF181" s="357">
        <v>30</v>
      </c>
      <c r="AG181" s="357">
        <v>30</v>
      </c>
      <c r="AH181" s="357">
        <v>30</v>
      </c>
      <c r="AI181" s="357">
        <v>30</v>
      </c>
      <c r="AJ181" s="357">
        <v>30</v>
      </c>
      <c r="AK181" s="357">
        <v>30</v>
      </c>
      <c r="AL181" s="357">
        <v>30</v>
      </c>
    </row>
    <row r="182" spans="1:40" s="60" customFormat="1">
      <c r="A182" s="59"/>
      <c r="B182" s="18"/>
      <c r="C182" s="418"/>
      <c r="E182" s="255" t="s">
        <v>349</v>
      </c>
      <c r="F182" s="362">
        <v>0</v>
      </c>
      <c r="G182" s="363">
        <v>0</v>
      </c>
      <c r="H182" s="363">
        <v>0</v>
      </c>
      <c r="I182" s="363">
        <v>-3428.2324886423876</v>
      </c>
      <c r="J182" s="363">
        <v>-8648.1346599864664</v>
      </c>
      <c r="K182" s="363">
        <v>-10501.715416379573</v>
      </c>
      <c r="L182" s="363">
        <v>-11789.766766074843</v>
      </c>
      <c r="M182" s="363">
        <v>-12781.085738062953</v>
      </c>
      <c r="N182" s="363">
        <v>-12964.07256339997</v>
      </c>
      <c r="O182" s="363">
        <v>-13056.065022065655</v>
      </c>
      <c r="P182" s="363">
        <v>-13153.347956501548</v>
      </c>
      <c r="Q182" s="363">
        <v>-13258.924860848332</v>
      </c>
      <c r="R182" s="363">
        <v>-13192.198772825008</v>
      </c>
      <c r="S182" s="363">
        <v>-13120.900501740565</v>
      </c>
      <c r="T182" s="363">
        <v>-13053.17986481126</v>
      </c>
      <c r="U182" s="363">
        <v>-12988.871271479342</v>
      </c>
      <c r="V182" s="363">
        <v>-12927.824119938543</v>
      </c>
      <c r="W182" s="363">
        <v>-12869.90172551917</v>
      </c>
      <c r="X182" s="363">
        <v>-12814.980346658424</v>
      </c>
      <c r="Y182" s="363">
        <v>-12762.948299757591</v>
      </c>
      <c r="Z182" s="363">
        <v>-12713.705155093148</v>
      </c>
      <c r="AA182" s="363">
        <v>-12667.161006726752</v>
      </c>
      <c r="AB182" s="363">
        <v>-12623.235810059556</v>
      </c>
      <c r="AC182" s="363">
        <v>-12581.858781306861</v>
      </c>
      <c r="AD182" s="363">
        <v>-12542.967853738353</v>
      </c>
      <c r="AE182" s="363">
        <v>-12506.509186042644</v>
      </c>
      <c r="AF182" s="363">
        <v>-12472.436718639547</v>
      </c>
      <c r="AG182" s="363">
        <v>-12440.711774183979</v>
      </c>
      <c r="AH182" s="363">
        <v>-12411.302698886851</v>
      </c>
      <c r="AI182" s="363">
        <v>-12384.184541624747</v>
      </c>
      <c r="AJ182" s="363">
        <v>-12359.338768125839</v>
      </c>
      <c r="AK182" s="363">
        <v>-12336.753007807063</v>
      </c>
      <c r="AL182" s="363">
        <v>-12316.905087227969</v>
      </c>
      <c r="AN182" s="59"/>
    </row>
    <row r="183" spans="1:40" ht="4.5" customHeight="1">
      <c r="C183" s="417"/>
      <c r="E183" s="250"/>
      <c r="F183" s="356"/>
      <c r="G183" s="357"/>
      <c r="H183" s="357"/>
      <c r="I183" s="357"/>
      <c r="J183" s="357"/>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row>
    <row r="184" spans="1:40" s="60" customFormat="1">
      <c r="A184" s="59"/>
      <c r="B184" s="18"/>
      <c r="C184" s="418"/>
      <c r="E184" s="255" t="s">
        <v>350</v>
      </c>
      <c r="F184" s="362"/>
      <c r="G184" s="363"/>
      <c r="H184" s="363"/>
      <c r="I184" s="363"/>
      <c r="J184" s="363"/>
      <c r="K184" s="363"/>
      <c r="L184" s="363"/>
      <c r="M184" s="363"/>
      <c r="N184" s="363"/>
      <c r="O184" s="363"/>
      <c r="P184" s="363"/>
      <c r="Q184" s="363"/>
      <c r="R184" s="363"/>
      <c r="S184" s="363"/>
      <c r="T184" s="363"/>
      <c r="U184" s="363"/>
      <c r="V184" s="363"/>
      <c r="W184" s="363"/>
      <c r="X184" s="363"/>
      <c r="Y184" s="363"/>
      <c r="Z184" s="363"/>
      <c r="AA184" s="363"/>
      <c r="AB184" s="363"/>
      <c r="AC184" s="363"/>
      <c r="AD184" s="363"/>
      <c r="AE184" s="363"/>
      <c r="AF184" s="363"/>
      <c r="AG184" s="363"/>
      <c r="AH184" s="363"/>
      <c r="AI184" s="363"/>
      <c r="AJ184" s="363"/>
      <c r="AK184" s="363"/>
      <c r="AL184" s="363"/>
      <c r="AN184" s="59"/>
    </row>
    <row r="185" spans="1:40">
      <c r="C185" s="417"/>
      <c r="E185" s="249" t="s">
        <v>350</v>
      </c>
      <c r="F185" s="356">
        <v>0</v>
      </c>
      <c r="G185" s="357">
        <v>113.57337059212044</v>
      </c>
      <c r="H185" s="357">
        <v>651.08383179631869</v>
      </c>
      <c r="I185" s="357">
        <v>27558.026745177718</v>
      </c>
      <c r="J185" s="357">
        <v>68567.402441655489</v>
      </c>
      <c r="K185" s="357">
        <v>80203.736216922</v>
      </c>
      <c r="L185" s="357">
        <v>88282.85633094408</v>
      </c>
      <c r="M185" s="357">
        <v>94471.129273786195</v>
      </c>
      <c r="N185" s="357">
        <v>95449.501245287742</v>
      </c>
      <c r="O185" s="357">
        <v>95983.091965318628</v>
      </c>
      <c r="P185" s="357">
        <v>96559.56183649032</v>
      </c>
      <c r="Q185" s="357">
        <v>97189.446932150429</v>
      </c>
      <c r="R185" s="357">
        <v>96690.441744127849</v>
      </c>
      <c r="S185" s="357">
        <v>96196.790771640342</v>
      </c>
      <c r="T185" s="357">
        <v>95726.419121406361</v>
      </c>
      <c r="U185" s="357">
        <v>95278.317855920322</v>
      </c>
      <c r="V185" s="357">
        <v>94851.574195079884</v>
      </c>
      <c r="W185" s="357">
        <v>94445.364777121024</v>
      </c>
      <c r="X185" s="357">
        <v>94058.949538150046</v>
      </c>
      <c r="Y185" s="357">
        <v>93691.666155277358</v>
      </c>
      <c r="Z185" s="357">
        <v>93342.925003832468</v>
      </c>
      <c r="AA185" s="357">
        <v>93012.204584063758</v>
      </c>
      <c r="AB185" s="357">
        <v>92699.047377158349</v>
      </c>
      <c r="AC185" s="357">
        <v>92403.056094408879</v>
      </c>
      <c r="AD185" s="357">
        <v>92123.89028695524</v>
      </c>
      <c r="AE185" s="357">
        <v>91861.263286780799</v>
      </c>
      <c r="AF185" s="357">
        <v>91614.939452582475</v>
      </c>
      <c r="AG185" s="357">
        <v>91384.7316967964</v>
      </c>
      <c r="AH185" s="357">
        <v>91170.499272474786</v>
      </c>
      <c r="AI185" s="357">
        <v>90972.145800904225</v>
      </c>
      <c r="AJ185" s="357">
        <v>90789.617522852088</v>
      </c>
      <c r="AK185" s="357">
        <v>90622.901758150547</v>
      </c>
      <c r="AL185" s="357">
        <v>90475.089287090552</v>
      </c>
    </row>
    <row r="186" spans="1:40">
      <c r="C186" s="417"/>
      <c r="E186" s="249" t="s">
        <v>102</v>
      </c>
      <c r="F186" s="364">
        <v>45</v>
      </c>
      <c r="G186" s="357">
        <v>45</v>
      </c>
      <c r="H186" s="357">
        <v>45</v>
      </c>
      <c r="I186" s="357">
        <v>45</v>
      </c>
      <c r="J186" s="357">
        <v>45</v>
      </c>
      <c r="K186" s="357">
        <v>45</v>
      </c>
      <c r="L186" s="357">
        <v>45</v>
      </c>
      <c r="M186" s="357">
        <v>45</v>
      </c>
      <c r="N186" s="357">
        <v>45</v>
      </c>
      <c r="O186" s="357">
        <v>45</v>
      </c>
      <c r="P186" s="357">
        <v>45</v>
      </c>
      <c r="Q186" s="357">
        <v>45</v>
      </c>
      <c r="R186" s="357">
        <v>45</v>
      </c>
      <c r="S186" s="357">
        <v>45</v>
      </c>
      <c r="T186" s="357">
        <v>45</v>
      </c>
      <c r="U186" s="357">
        <v>45</v>
      </c>
      <c r="V186" s="357">
        <v>45</v>
      </c>
      <c r="W186" s="357">
        <v>45</v>
      </c>
      <c r="X186" s="357">
        <v>45</v>
      </c>
      <c r="Y186" s="357">
        <v>45</v>
      </c>
      <c r="Z186" s="357">
        <v>45</v>
      </c>
      <c r="AA186" s="357">
        <v>45</v>
      </c>
      <c r="AB186" s="357">
        <v>45</v>
      </c>
      <c r="AC186" s="357">
        <v>45</v>
      </c>
      <c r="AD186" s="357">
        <v>45</v>
      </c>
      <c r="AE186" s="357">
        <v>45</v>
      </c>
      <c r="AF186" s="357">
        <v>45</v>
      </c>
      <c r="AG186" s="357">
        <v>45</v>
      </c>
      <c r="AH186" s="357">
        <v>45</v>
      </c>
      <c r="AI186" s="357">
        <v>45</v>
      </c>
      <c r="AJ186" s="357">
        <v>45</v>
      </c>
      <c r="AK186" s="357">
        <v>45</v>
      </c>
      <c r="AL186" s="357">
        <v>45</v>
      </c>
    </row>
    <row r="187" spans="1:40" s="60" customFormat="1">
      <c r="A187" s="59"/>
      <c r="B187" s="18"/>
      <c r="C187" s="418"/>
      <c r="E187" s="255" t="s">
        <v>348</v>
      </c>
      <c r="F187" s="362">
        <v>0</v>
      </c>
      <c r="G187" s="363">
        <v>14.002196374371012</v>
      </c>
      <c r="H187" s="363">
        <v>80.270609399546146</v>
      </c>
      <c r="I187" s="363">
        <v>3397.5649411862942</v>
      </c>
      <c r="J187" s="363">
        <v>8453.5153695191711</v>
      </c>
      <c r="K187" s="363">
        <v>9888.1318623602474</v>
      </c>
      <c r="L187" s="363">
        <v>10884.187766828723</v>
      </c>
      <c r="M187" s="363">
        <v>11647.125526905147</v>
      </c>
      <c r="N187" s="363">
        <v>11767.746728871092</v>
      </c>
      <c r="O187" s="363">
        <v>11833.531886135172</v>
      </c>
      <c r="P187" s="363">
        <v>11904.603514087848</v>
      </c>
      <c r="Q187" s="363">
        <v>11982.260580676082</v>
      </c>
      <c r="R187" s="363">
        <v>11920.739393111653</v>
      </c>
      <c r="S187" s="363">
        <v>11859.878314311823</v>
      </c>
      <c r="T187" s="363">
        <v>11801.88728894051</v>
      </c>
      <c r="U187" s="363">
        <v>11746.641927442231</v>
      </c>
      <c r="V187" s="363">
        <v>11694.029695283822</v>
      </c>
      <c r="W187" s="363">
        <v>11643.949082110812</v>
      </c>
      <c r="X187" s="363">
        <v>11596.308847169184</v>
      </c>
      <c r="Y187" s="363">
        <v>11551.027334212276</v>
      </c>
      <c r="Z187" s="363">
        <v>11508.031849787565</v>
      </c>
      <c r="AA187" s="363">
        <v>11467.25809940512</v>
      </c>
      <c r="AB187" s="363">
        <v>11428.649676635961</v>
      </c>
      <c r="AC187" s="363">
        <v>11392.157600680548</v>
      </c>
      <c r="AD187" s="363">
        <v>11357.739898391743</v>
      </c>
      <c r="AE187" s="363">
        <v>11325.361227137359</v>
      </c>
      <c r="AF187" s="363">
        <v>11294.992535249894</v>
      </c>
      <c r="AG187" s="363">
        <v>11266.610757139282</v>
      </c>
      <c r="AH187" s="363">
        <v>11240.198540442098</v>
      </c>
      <c r="AI187" s="363">
        <v>11215.744002851206</v>
      </c>
      <c r="AJ187" s="363">
        <v>11193.240516516011</v>
      </c>
      <c r="AK187" s="363">
        <v>11172.68651812815</v>
      </c>
      <c r="AL187" s="363">
        <v>11154.463062791985</v>
      </c>
      <c r="AN187" s="59"/>
    </row>
    <row r="188" spans="1:40" s="60" customFormat="1" ht="4.5" customHeight="1">
      <c r="A188" s="59"/>
      <c r="B188" s="18"/>
      <c r="C188" s="418"/>
      <c r="E188" s="255"/>
      <c r="F188" s="362"/>
      <c r="G188" s="363"/>
      <c r="H188" s="363"/>
      <c r="I188" s="363"/>
      <c r="J188" s="363"/>
      <c r="K188" s="363"/>
      <c r="L188" s="363"/>
      <c r="M188" s="363"/>
      <c r="N188" s="363"/>
      <c r="O188" s="363"/>
      <c r="P188" s="363"/>
      <c r="Q188" s="363"/>
      <c r="R188" s="363"/>
      <c r="S188" s="363"/>
      <c r="T188" s="363"/>
      <c r="U188" s="363"/>
      <c r="V188" s="363"/>
      <c r="W188" s="363"/>
      <c r="X188" s="363"/>
      <c r="Y188" s="363"/>
      <c r="Z188" s="363"/>
      <c r="AA188" s="363"/>
      <c r="AB188" s="363"/>
      <c r="AC188" s="363"/>
      <c r="AD188" s="363"/>
      <c r="AE188" s="363"/>
      <c r="AF188" s="363"/>
      <c r="AG188" s="363"/>
      <c r="AH188" s="363"/>
      <c r="AI188" s="363"/>
      <c r="AJ188" s="363"/>
      <c r="AK188" s="363"/>
      <c r="AL188" s="363"/>
      <c r="AN188" s="59"/>
    </row>
    <row r="189" spans="1:40" s="60" customFormat="1" ht="14.25" thickBot="1">
      <c r="A189" s="59"/>
      <c r="B189" s="18"/>
      <c r="C189" s="418"/>
      <c r="E189" s="256" t="s">
        <v>95</v>
      </c>
      <c r="F189" s="366">
        <v>0</v>
      </c>
      <c r="G189" s="366">
        <v>14.002196374371012</v>
      </c>
      <c r="H189" s="367">
        <v>80.270609399546146</v>
      </c>
      <c r="I189" s="367">
        <v>-1031.8613240683908</v>
      </c>
      <c r="J189" s="367">
        <v>-2878.0081547771024</v>
      </c>
      <c r="K189" s="367">
        <v>-3769.8599693751003</v>
      </c>
      <c r="L189" s="367">
        <v>-4390.5321894489171</v>
      </c>
      <c r="M189" s="367">
        <v>-4869.8008956014128</v>
      </c>
      <c r="N189" s="367">
        <v>-4968.863104859809</v>
      </c>
      <c r="O189" s="367">
        <v>-5013.4007072044387</v>
      </c>
      <c r="P189" s="367">
        <v>-5059.6145942698604</v>
      </c>
      <c r="Q189" s="367">
        <v>-5109.6399465535014</v>
      </c>
      <c r="R189" s="367">
        <v>-5080.0531991302996</v>
      </c>
      <c r="S189" s="367">
        <v>-5045.3571236304088</v>
      </c>
      <c r="T189" s="367">
        <v>-5012.2257120728536</v>
      </c>
      <c r="U189" s="367">
        <v>-4980.5737033213427</v>
      </c>
      <c r="V189" s="367">
        <v>-4950.3228515561859</v>
      </c>
      <c r="W189" s="367">
        <v>-4921.4014066089403</v>
      </c>
      <c r="X189" s="367">
        <v>-4893.7436409834881</v>
      </c>
      <c r="Y189" s="367">
        <v>-4867.2894193836819</v>
      </c>
      <c r="Z189" s="367">
        <v>-4841.9838069831621</v>
      </c>
      <c r="AA189" s="367">
        <v>-4817.776713046087</v>
      </c>
      <c r="AB189" s="367">
        <v>-4794.6225668436909</v>
      </c>
      <c r="AC189" s="367">
        <v>-4772.4800231140125</v>
      </c>
      <c r="AD189" s="367">
        <v>-4751.3116945853635</v>
      </c>
      <c r="AE189" s="367">
        <v>-4731.0839093302402</v>
      </c>
      <c r="AF189" s="367">
        <v>-4711.7664909394698</v>
      </c>
      <c r="AG189" s="367">
        <v>-4693.3325597078656</v>
      </c>
      <c r="AH189" s="367">
        <v>-4675.7583532057797</v>
      </c>
      <c r="AI189" s="367">
        <v>-4659.0230647768658</v>
      </c>
      <c r="AJ189" s="367">
        <v>-4643.1086986538794</v>
      </c>
      <c r="AK189" s="367">
        <v>-4627.9999405220588</v>
      </c>
      <c r="AL189" s="367">
        <v>-4613.9164854269529</v>
      </c>
      <c r="AN189" s="59"/>
    </row>
    <row r="190" spans="1:40" ht="3.75" customHeight="1">
      <c r="C190" s="418"/>
      <c r="F190" s="81"/>
    </row>
    <row r="191" spans="1:40" ht="14.25" thickBot="1">
      <c r="C191" s="418"/>
      <c r="E191" s="399" t="s">
        <v>239</v>
      </c>
      <c r="F191" s="400">
        <v>0</v>
      </c>
      <c r="G191" s="401">
        <v>-89533.108081217753</v>
      </c>
      <c r="H191" s="401">
        <v>-94604.687551771145</v>
      </c>
      <c r="I191" s="401">
        <v>-32931.140593694014</v>
      </c>
      <c r="J191" s="401">
        <v>7804.6231516796142</v>
      </c>
      <c r="K191" s="401">
        <v>13598.841712508151</v>
      </c>
      <c r="L191" s="401">
        <v>48295.656202326383</v>
      </c>
      <c r="M191" s="401">
        <v>53798.043562134408</v>
      </c>
      <c r="N191" s="401">
        <v>55330.659705163103</v>
      </c>
      <c r="O191" s="401">
        <v>55934.885600720343</v>
      </c>
      <c r="P191" s="401">
        <v>56502.464961340702</v>
      </c>
      <c r="Q191" s="401">
        <v>57111.129357375918</v>
      </c>
      <c r="R191" s="401">
        <v>56922.826179296389</v>
      </c>
      <c r="S191" s="401">
        <v>56604.526206658149</v>
      </c>
      <c r="T191" s="401">
        <v>56297.978431571108</v>
      </c>
      <c r="U191" s="401">
        <v>56009.026876862139</v>
      </c>
      <c r="V191" s="401">
        <v>55736.827744109381</v>
      </c>
      <c r="W191" s="401">
        <v>55480.610469765554</v>
      </c>
      <c r="X191" s="401">
        <v>54283.771896165439</v>
      </c>
      <c r="Y191" s="401">
        <v>53907.364751283545</v>
      </c>
      <c r="Z191" s="401">
        <v>53513.366906555944</v>
      </c>
      <c r="AA191" s="401">
        <v>53297.902674085417</v>
      </c>
      <c r="AB191" s="401">
        <v>53095.497648867684</v>
      </c>
      <c r="AC191" s="401">
        <v>52905.725443690062</v>
      </c>
      <c r="AD191" s="401">
        <v>52728.204726875862</v>
      </c>
      <c r="AE191" s="401">
        <v>52562.596537923397</v>
      </c>
      <c r="AF191" s="401">
        <v>52408.601858581591</v>
      </c>
      <c r="AG191" s="401">
        <v>52265.959419157181</v>
      </c>
      <c r="AH191" s="401">
        <v>52134.443721895645</v>
      </c>
      <c r="AI191" s="401">
        <v>52013.863265131411</v>
      </c>
      <c r="AJ191" s="401">
        <v>51904.058953597465</v>
      </c>
      <c r="AK191" s="401">
        <v>51804.90268182203</v>
      </c>
      <c r="AL191" s="401">
        <v>54495.045774093705</v>
      </c>
      <c r="AM191" s="82">
        <v>0</v>
      </c>
    </row>
    <row r="192" spans="1:40" ht="3.75" customHeight="1" collapsed="1">
      <c r="A192" s="84"/>
      <c r="D192" s="85"/>
      <c r="F192" s="81"/>
    </row>
    <row r="193" spans="1:40" s="85" customFormat="1" outlineLevel="1">
      <c r="A193" s="84"/>
      <c r="B193" s="18"/>
      <c r="C193" s="418"/>
      <c r="E193" s="257" t="s">
        <v>444</v>
      </c>
      <c r="F193" s="368"/>
      <c r="G193" s="369"/>
      <c r="H193" s="370"/>
      <c r="I193" s="369">
        <v>-217068.93622668291</v>
      </c>
      <c r="J193" s="369">
        <v>-209264.3130750033</v>
      </c>
      <c r="K193" s="369">
        <v>-195665.47136249515</v>
      </c>
      <c r="L193" s="369">
        <v>-147369.81516016877</v>
      </c>
      <c r="M193" s="369">
        <v>-93571.771598034364</v>
      </c>
      <c r="N193" s="369">
        <v>-38241.11189287126</v>
      </c>
      <c r="O193" s="369">
        <v>17693.773707849083</v>
      </c>
      <c r="P193" s="369">
        <v>74196.238669189785</v>
      </c>
      <c r="Q193" s="369">
        <v>131307.3680265657</v>
      </c>
      <c r="R193" s="369">
        <v>188230.19420586209</v>
      </c>
      <c r="S193" s="369">
        <v>244834.72041252023</v>
      </c>
      <c r="T193" s="369">
        <v>301132.69884409133</v>
      </c>
      <c r="U193" s="369">
        <v>357141.72572095349</v>
      </c>
      <c r="V193" s="369">
        <v>412878.55346506287</v>
      </c>
      <c r="W193" s="369">
        <v>468359.16393482842</v>
      </c>
      <c r="X193" s="369">
        <v>522642.93583099387</v>
      </c>
      <c r="Y193" s="369">
        <v>576550.30058227736</v>
      </c>
      <c r="Z193" s="369">
        <v>630063.66748883331</v>
      </c>
      <c r="AA193" s="369">
        <v>683361.57016291877</v>
      </c>
      <c r="AB193" s="369">
        <v>736457.06781178643</v>
      </c>
      <c r="AC193" s="369">
        <v>789362.79325547651</v>
      </c>
      <c r="AD193" s="369">
        <v>842090.99798235239</v>
      </c>
      <c r="AE193" s="369">
        <v>894653.59452027583</v>
      </c>
      <c r="AF193" s="369">
        <v>947062.19637885736</v>
      </c>
      <c r="AG193" s="369">
        <v>999328.15579801449</v>
      </c>
      <c r="AH193" s="369">
        <v>1051462.5995199101</v>
      </c>
      <c r="AI193" s="369">
        <v>1103476.4627850414</v>
      </c>
      <c r="AJ193" s="369">
        <v>1155380.5217386389</v>
      </c>
      <c r="AK193" s="369">
        <v>1207185.4244204608</v>
      </c>
      <c r="AL193" s="369">
        <v>1261680.4701945544</v>
      </c>
      <c r="AN193" s="84"/>
    </row>
    <row r="194" spans="1:40" s="85" customFormat="1" outlineLevel="1">
      <c r="A194" s="84"/>
      <c r="B194" s="18"/>
      <c r="C194" s="418"/>
      <c r="E194" s="257"/>
      <c r="F194" s="368"/>
      <c r="G194" s="369"/>
      <c r="H194" s="370"/>
      <c r="I194" s="371">
        <v>0</v>
      </c>
      <c r="J194" s="371">
        <v>27.812865785834646</v>
      </c>
      <c r="K194" s="371">
        <v>15.388392445403859</v>
      </c>
      <c r="L194" s="371">
        <v>4.0514093139720098</v>
      </c>
      <c r="M194" s="371">
        <v>2.7393155104230327</v>
      </c>
      <c r="N194" s="371">
        <v>1.6911378265982042</v>
      </c>
      <c r="O194" s="371">
        <v>0.68367194251272023</v>
      </c>
      <c r="P194" s="371">
        <v>0</v>
      </c>
      <c r="Q194" s="371">
        <v>0</v>
      </c>
      <c r="R194" s="371">
        <v>0</v>
      </c>
      <c r="S194" s="371">
        <v>0</v>
      </c>
      <c r="T194" s="371">
        <v>0</v>
      </c>
      <c r="U194" s="371">
        <v>0</v>
      </c>
      <c r="V194" s="371">
        <v>0</v>
      </c>
      <c r="W194" s="371">
        <v>0</v>
      </c>
      <c r="X194" s="371">
        <v>0</v>
      </c>
      <c r="Y194" s="371">
        <v>0</v>
      </c>
      <c r="Z194" s="371">
        <v>0</v>
      </c>
      <c r="AA194" s="371">
        <v>0</v>
      </c>
      <c r="AB194" s="371">
        <v>0</v>
      </c>
      <c r="AC194" s="371">
        <v>0</v>
      </c>
      <c r="AD194" s="371">
        <v>0</v>
      </c>
      <c r="AE194" s="371">
        <v>0</v>
      </c>
      <c r="AF194" s="371">
        <v>0</v>
      </c>
      <c r="AG194" s="371">
        <v>0</v>
      </c>
      <c r="AH194" s="371">
        <v>0</v>
      </c>
      <c r="AI194" s="371">
        <v>0</v>
      </c>
      <c r="AJ194" s="371">
        <v>0</v>
      </c>
      <c r="AK194" s="371">
        <v>0</v>
      </c>
      <c r="AL194" s="371">
        <v>0</v>
      </c>
      <c r="AN194" s="84"/>
    </row>
    <row r="195" spans="1:40" s="85" customFormat="1" outlineLevel="1">
      <c r="A195" s="84"/>
      <c r="B195" s="18"/>
      <c r="C195" s="418"/>
      <c r="E195" s="257"/>
      <c r="F195" s="86"/>
      <c r="G195" s="372"/>
      <c r="I195" s="372">
        <v>1</v>
      </c>
      <c r="J195" s="372">
        <v>2</v>
      </c>
      <c r="K195" s="372">
        <v>3</v>
      </c>
      <c r="L195" s="372">
        <v>4</v>
      </c>
      <c r="M195" s="372">
        <v>5</v>
      </c>
      <c r="N195" s="372">
        <v>6</v>
      </c>
      <c r="O195" s="372">
        <v>6.6836719425127207</v>
      </c>
      <c r="P195" s="372">
        <v>6.6836719425127207</v>
      </c>
      <c r="Q195" s="372">
        <v>6.6836719425127207</v>
      </c>
      <c r="R195" s="372">
        <v>6.6836719425127207</v>
      </c>
      <c r="S195" s="372">
        <v>6.6836719425127207</v>
      </c>
      <c r="T195" s="372">
        <v>6.6836719425127207</v>
      </c>
      <c r="U195" s="372">
        <v>6.6836719425127207</v>
      </c>
      <c r="V195" s="372">
        <v>6.6836719425127207</v>
      </c>
      <c r="W195" s="372">
        <v>6.6836719425127207</v>
      </c>
      <c r="X195" s="372">
        <v>6.6836719425127207</v>
      </c>
      <c r="Y195" s="372">
        <v>6.6836719425127207</v>
      </c>
      <c r="Z195" s="372">
        <v>6.6836719425127207</v>
      </c>
      <c r="AA195" s="372">
        <v>6.6836719425127207</v>
      </c>
      <c r="AB195" s="372">
        <v>6.6836719425127207</v>
      </c>
      <c r="AC195" s="372">
        <v>6.6836719425127207</v>
      </c>
      <c r="AD195" s="372">
        <v>6.6836719425127207</v>
      </c>
      <c r="AE195" s="372">
        <v>6.6836719425127207</v>
      </c>
      <c r="AF195" s="372">
        <v>6.6836719425127207</v>
      </c>
      <c r="AG195" s="372">
        <v>6.6836719425127207</v>
      </c>
      <c r="AH195" s="372">
        <v>6.6836719425127207</v>
      </c>
      <c r="AI195" s="372">
        <v>6.6836719425127207</v>
      </c>
      <c r="AJ195" s="372">
        <v>6.6836719425127207</v>
      </c>
      <c r="AK195" s="372">
        <v>6.6836719425127207</v>
      </c>
      <c r="AL195" s="372">
        <v>6.6836719425127207</v>
      </c>
      <c r="AN195" s="84"/>
    </row>
    <row r="196" spans="1:40" ht="3.75" customHeight="1" outlineLevel="1" collapsed="1">
      <c r="A196" s="84"/>
      <c r="B196" s="85"/>
      <c r="C196" s="85"/>
      <c r="D196" s="85"/>
      <c r="F196" s="81"/>
    </row>
    <row r="197" spans="1:40">
      <c r="A197" s="84"/>
      <c r="C197" s="80"/>
      <c r="D197" s="85"/>
      <c r="E197" s="267" t="s">
        <v>240</v>
      </c>
      <c r="F197" s="268"/>
      <c r="G197" s="269"/>
      <c r="H197" s="269"/>
      <c r="I197" s="269">
        <v>4.4439118303906382E-3</v>
      </c>
      <c r="J197" s="269">
        <v>7.5514035966905063E-2</v>
      </c>
      <c r="K197" s="269">
        <v>0.10191822529820226</v>
      </c>
      <c r="L197" s="269">
        <v>0.12676076594471455</v>
      </c>
      <c r="M197" s="269">
        <v>0.15376822568774373</v>
      </c>
      <c r="N197" s="269">
        <v>0.1668297093679933</v>
      </c>
      <c r="O197" s="269">
        <v>0.17891061563712302</v>
      </c>
      <c r="P197" s="269">
        <v>0.19284832571801164</v>
      </c>
      <c r="Q197" s="269">
        <v>0.20923041893170563</v>
      </c>
      <c r="R197" s="269">
        <v>0.22369365940083283</v>
      </c>
      <c r="S197" s="269">
        <v>0.24057638920248373</v>
      </c>
      <c r="T197" s="269">
        <v>0.26117471820696031</v>
      </c>
      <c r="U197" s="269">
        <v>0.28679243818028999</v>
      </c>
      <c r="V197" s="269">
        <v>0.31942145533337646</v>
      </c>
      <c r="W197" s="269">
        <v>0.36227651019131618</v>
      </c>
      <c r="X197" s="269">
        <v>0.49684889736935872</v>
      </c>
      <c r="Y197" s="269">
        <v>0.53483967336063443</v>
      </c>
      <c r="Z197" s="269">
        <v>0.57011168549281366</v>
      </c>
      <c r="AA197" s="269">
        <v>0.58271513861686941</v>
      </c>
      <c r="AB197" s="269">
        <v>0.59616275450656953</v>
      </c>
      <c r="AC197" s="269">
        <v>0.61052028153249183</v>
      </c>
      <c r="AD197" s="269">
        <v>0.62586164481152884</v>
      </c>
      <c r="AE197" s="269">
        <v>0.64227012710000753</v>
      </c>
      <c r="AF197" s="269">
        <v>0.65983977060618626</v>
      </c>
      <c r="AG197" s="269">
        <v>0.6786770483742518</v>
      </c>
      <c r="AH197" s="269">
        <v>0.69890286664571755</v>
      </c>
      <c r="AI197" s="269">
        <v>0.72065497623347696</v>
      </c>
      <c r="AJ197" s="269">
        <v>0.74409089280470897</v>
      </c>
      <c r="AK197" s="269">
        <v>0.76939145495741568</v>
      </c>
      <c r="AL197" s="269">
        <v>0.81672445519122827</v>
      </c>
    </row>
    <row r="198" spans="1:40" ht="3.75" customHeight="1">
      <c r="A198" s="84"/>
      <c r="C198" s="80"/>
      <c r="D198" s="85"/>
      <c r="F198" s="81"/>
    </row>
    <row r="199" spans="1:40">
      <c r="A199" s="84"/>
      <c r="C199" s="80"/>
      <c r="D199" s="85"/>
      <c r="E199" s="87" t="s">
        <v>241</v>
      </c>
      <c r="F199" s="373"/>
      <c r="G199" s="374"/>
      <c r="H199" s="374"/>
      <c r="I199" s="374">
        <v>229316.76129999998</v>
      </c>
      <c r="J199" s="374">
        <v>261193.80148259824</v>
      </c>
      <c r="K199" s="374">
        <v>269743.49367068952</v>
      </c>
      <c r="L199" s="374">
        <v>282502.9363673582</v>
      </c>
      <c r="M199" s="374">
        <v>267847.34748435108</v>
      </c>
      <c r="N199" s="374">
        <v>253146.95094106527</v>
      </c>
      <c r="O199" s="374">
        <v>238640.54972047353</v>
      </c>
      <c r="P199" s="374">
        <v>224002.46193259559</v>
      </c>
      <c r="Q199" s="374">
        <v>209176.48668579684</v>
      </c>
      <c r="R199" s="374">
        <v>194160.48879957985</v>
      </c>
      <c r="S199" s="374">
        <v>179037.89183886972</v>
      </c>
      <c r="T199" s="374">
        <v>163734.19303203627</v>
      </c>
      <c r="U199" s="374">
        <v>148242.71838706048</v>
      </c>
      <c r="V199" s="374">
        <v>132563.55316507866</v>
      </c>
      <c r="W199" s="374">
        <v>116696.77561191047</v>
      </c>
      <c r="X199" s="374">
        <v>100642.45747772438</v>
      </c>
      <c r="Y199" s="374">
        <v>95021.781910016492</v>
      </c>
      <c r="Z199" s="374">
        <v>90881.569464949629</v>
      </c>
      <c r="AA199" s="374">
        <v>88573.541744016809</v>
      </c>
      <c r="AB199" s="374">
        <v>86264.415504620556</v>
      </c>
      <c r="AC199" s="374">
        <v>83954.236317489616</v>
      </c>
      <c r="AD199" s="374">
        <v>81643.045527885959</v>
      </c>
      <c r="AE199" s="374">
        <v>79330.880523081258</v>
      </c>
      <c r="AF199" s="374">
        <v>77017.774975003034</v>
      </c>
      <c r="AG199" s="374">
        <v>74703.75906006046</v>
      </c>
      <c r="AH199" s="374">
        <v>72388.859657958732</v>
      </c>
      <c r="AI199" s="374">
        <v>70073.100531127478</v>
      </c>
      <c r="AJ199" s="374">
        <v>67756.502486223064</v>
      </c>
      <c r="AK199" s="374">
        <v>65439.083519012718</v>
      </c>
      <c r="AL199" s="374">
        <v>63120.858943811218</v>
      </c>
    </row>
    <row r="200" spans="1:40">
      <c r="A200" s="84"/>
      <c r="C200" s="80"/>
      <c r="D200" s="85"/>
      <c r="E200" s="88" t="s">
        <v>242</v>
      </c>
      <c r="F200" s="375"/>
      <c r="G200" s="376"/>
      <c r="H200" s="376"/>
      <c r="I200" s="376">
        <v>45863.352259999992</v>
      </c>
      <c r="J200" s="376">
        <v>25018.167613000001</v>
      </c>
      <c r="K200" s="376">
        <v>30293.167613000001</v>
      </c>
      <c r="L200" s="376">
        <v>2793.1676130000001</v>
      </c>
      <c r="M200" s="376">
        <v>2793.1676130000001</v>
      </c>
      <c r="N200" s="376">
        <v>2793.1676130000001</v>
      </c>
      <c r="O200" s="376">
        <v>2793.1676130000001</v>
      </c>
      <c r="P200" s="376">
        <v>2793.1676130000001</v>
      </c>
      <c r="Q200" s="376">
        <v>2793.1676130000001</v>
      </c>
      <c r="R200" s="376">
        <v>2793.1676130000001</v>
      </c>
      <c r="S200" s="376">
        <v>2793.1676130000001</v>
      </c>
      <c r="T200" s="376">
        <v>2793.1676130000001</v>
      </c>
      <c r="U200" s="376">
        <v>2793.1676130000001</v>
      </c>
      <c r="V200" s="376">
        <v>2793.1676130000001</v>
      </c>
      <c r="W200" s="376">
        <v>2793.1676130000001</v>
      </c>
      <c r="X200" s="376">
        <v>2793.1676130000001</v>
      </c>
      <c r="Y200" s="376">
        <v>2793.1676130000001</v>
      </c>
      <c r="Z200" s="376">
        <v>2793.1676130000001</v>
      </c>
      <c r="AA200" s="376">
        <v>2793.1676130000001</v>
      </c>
      <c r="AB200" s="376">
        <v>2793.1676130000001</v>
      </c>
      <c r="AC200" s="376">
        <v>2793.1676130000001</v>
      </c>
      <c r="AD200" s="376">
        <v>2793.1676130000001</v>
      </c>
      <c r="AE200" s="376">
        <v>2793.1676130000001</v>
      </c>
      <c r="AF200" s="376">
        <v>2793.1676130000001</v>
      </c>
      <c r="AG200" s="376">
        <v>2793.1676130000001</v>
      </c>
      <c r="AH200" s="376">
        <v>2793.1676130000001</v>
      </c>
      <c r="AI200" s="376">
        <v>2793.1676130000001</v>
      </c>
      <c r="AJ200" s="376">
        <v>2793.1676130000001</v>
      </c>
      <c r="AK200" s="376">
        <v>2793.1676130000001</v>
      </c>
      <c r="AL200" s="376">
        <v>0</v>
      </c>
    </row>
    <row r="201" spans="1:40">
      <c r="A201" s="84"/>
      <c r="C201" s="80"/>
      <c r="E201" s="88" t="s">
        <v>243</v>
      </c>
      <c r="F201" s="375"/>
      <c r="G201" s="376"/>
      <c r="H201" s="376"/>
      <c r="I201" s="376">
        <v>-1031.8613240683908</v>
      </c>
      <c r="J201" s="376">
        <v>-1846.1468307087116</v>
      </c>
      <c r="K201" s="376">
        <v>-891.85181459799787</v>
      </c>
      <c r="L201" s="376">
        <v>-620.67222007381679</v>
      </c>
      <c r="M201" s="376">
        <v>-479.26870615249572</v>
      </c>
      <c r="N201" s="376">
        <v>-99.062209258396251</v>
      </c>
      <c r="O201" s="376">
        <v>-44.537602344629704</v>
      </c>
      <c r="P201" s="376">
        <v>-46.213887065421659</v>
      </c>
      <c r="Q201" s="376">
        <v>-50.025352283641041</v>
      </c>
      <c r="R201" s="376">
        <v>29.586747423201814</v>
      </c>
      <c r="S201" s="376">
        <v>34.696075499890867</v>
      </c>
      <c r="T201" s="376">
        <v>33.131411557555111</v>
      </c>
      <c r="U201" s="376">
        <v>31.652008751510948</v>
      </c>
      <c r="V201" s="376">
        <v>30.250851765156767</v>
      </c>
      <c r="W201" s="376">
        <v>28.921444947245618</v>
      </c>
      <c r="X201" s="376">
        <v>27.657765625452157</v>
      </c>
      <c r="Y201" s="376">
        <v>26.45422159980626</v>
      </c>
      <c r="Z201" s="376">
        <v>25.305612400519749</v>
      </c>
      <c r="AA201" s="376">
        <v>24.207093937075115</v>
      </c>
      <c r="AB201" s="376">
        <v>23.154146202396078</v>
      </c>
      <c r="AC201" s="376">
        <v>22.142543729678437</v>
      </c>
      <c r="AD201" s="376">
        <v>21.168328528648999</v>
      </c>
      <c r="AE201" s="376">
        <v>20.227785255123308</v>
      </c>
      <c r="AF201" s="376">
        <v>19.317418390770399</v>
      </c>
      <c r="AG201" s="376">
        <v>18.43393123160422</v>
      </c>
      <c r="AH201" s="376">
        <v>17.574206502085872</v>
      </c>
      <c r="AI201" s="376">
        <v>16.735288428913918</v>
      </c>
      <c r="AJ201" s="376">
        <v>15.914366122986394</v>
      </c>
      <c r="AK201" s="376">
        <v>15.10875813182065</v>
      </c>
      <c r="AL201" s="376">
        <v>14.083455095105819</v>
      </c>
    </row>
    <row r="202" spans="1:40">
      <c r="A202" s="84"/>
      <c r="C202" s="80"/>
      <c r="E202" s="88" t="s">
        <v>244</v>
      </c>
      <c r="F202" s="375"/>
      <c r="G202" s="376"/>
      <c r="H202" s="376"/>
      <c r="I202" s="376">
        <v>-12954.450753333334</v>
      </c>
      <c r="J202" s="376">
        <v>-14622.3285942</v>
      </c>
      <c r="K202" s="376">
        <v>-16641.873101733334</v>
      </c>
      <c r="L202" s="376">
        <v>-16828.084275933335</v>
      </c>
      <c r="M202" s="376">
        <v>-17014.295450133333</v>
      </c>
      <c r="N202" s="376">
        <v>-17200.506624333335</v>
      </c>
      <c r="O202" s="376">
        <v>-17386.717798533336</v>
      </c>
      <c r="P202" s="376">
        <v>-17572.928972733334</v>
      </c>
      <c r="Q202" s="376">
        <v>-17759.140146933336</v>
      </c>
      <c r="R202" s="376">
        <v>-17945.351321133334</v>
      </c>
      <c r="S202" s="376">
        <v>-18131.562495333335</v>
      </c>
      <c r="T202" s="376">
        <v>-18317.773669533333</v>
      </c>
      <c r="U202" s="376">
        <v>-18503.984843733335</v>
      </c>
      <c r="V202" s="376">
        <v>-18690.196017933336</v>
      </c>
      <c r="W202" s="376">
        <v>-18876.407192133334</v>
      </c>
      <c r="X202" s="376">
        <v>-8441.5009463333336</v>
      </c>
      <c r="Y202" s="376">
        <v>-6959.8342796666675</v>
      </c>
      <c r="Z202" s="376">
        <v>-5126.5009463333336</v>
      </c>
      <c r="AA202" s="376">
        <v>-5126.5009463333336</v>
      </c>
      <c r="AB202" s="376">
        <v>-5126.5009463333336</v>
      </c>
      <c r="AC202" s="376">
        <v>-5126.5009463333336</v>
      </c>
      <c r="AD202" s="376">
        <v>-5126.5009463333336</v>
      </c>
      <c r="AE202" s="376">
        <v>-5126.5009463333336</v>
      </c>
      <c r="AF202" s="376">
        <v>-5126.5009463333336</v>
      </c>
      <c r="AG202" s="376">
        <v>-5126.5009463333336</v>
      </c>
      <c r="AH202" s="376">
        <v>-5126.5009463333336</v>
      </c>
      <c r="AI202" s="376">
        <v>-5126.5009463333336</v>
      </c>
      <c r="AJ202" s="376">
        <v>-5126.5009463333336</v>
      </c>
      <c r="AK202" s="376">
        <v>-5126.5009463333336</v>
      </c>
      <c r="AL202" s="376">
        <v>-4940.2897721333338</v>
      </c>
    </row>
    <row r="203" spans="1:40">
      <c r="C203" s="80"/>
      <c r="E203" s="21" t="s">
        <v>245</v>
      </c>
      <c r="F203" s="375"/>
      <c r="G203" s="376"/>
      <c r="H203" s="376"/>
      <c r="I203" s="376">
        <v>261193.80148259824</v>
      </c>
      <c r="J203" s="376">
        <v>269743.49367068952</v>
      </c>
      <c r="K203" s="376">
        <v>282502.9363673582</v>
      </c>
      <c r="L203" s="376">
        <v>267847.34748435108</v>
      </c>
      <c r="M203" s="376">
        <v>253146.95094106527</v>
      </c>
      <c r="N203" s="376">
        <v>238640.54972047353</v>
      </c>
      <c r="O203" s="376">
        <v>224002.46193259559</v>
      </c>
      <c r="P203" s="376">
        <v>209176.48668579684</v>
      </c>
      <c r="Q203" s="376">
        <v>194160.48879957985</v>
      </c>
      <c r="R203" s="376">
        <v>179037.89183886972</v>
      </c>
      <c r="S203" s="376">
        <v>163734.19303203627</v>
      </c>
      <c r="T203" s="376">
        <v>148242.71838706048</v>
      </c>
      <c r="U203" s="376">
        <v>132563.55316507866</v>
      </c>
      <c r="V203" s="376">
        <v>116696.77561191047</v>
      </c>
      <c r="W203" s="376">
        <v>100642.45747772438</v>
      </c>
      <c r="X203" s="376">
        <v>95021.781910016492</v>
      </c>
      <c r="Y203" s="376">
        <v>90881.569464949629</v>
      </c>
      <c r="Z203" s="376">
        <v>88573.541744016809</v>
      </c>
      <c r="AA203" s="376">
        <v>86264.415504620556</v>
      </c>
      <c r="AB203" s="376">
        <v>83954.236317489616</v>
      </c>
      <c r="AC203" s="376">
        <v>81643.045527885959</v>
      </c>
      <c r="AD203" s="376">
        <v>79330.880523081258</v>
      </c>
      <c r="AE203" s="376">
        <v>77017.774975003034</v>
      </c>
      <c r="AF203" s="376">
        <v>74703.75906006046</v>
      </c>
      <c r="AG203" s="376">
        <v>72388.859657958732</v>
      </c>
      <c r="AH203" s="376">
        <v>70073.100531127478</v>
      </c>
      <c r="AI203" s="376">
        <v>67756.502486223064</v>
      </c>
      <c r="AJ203" s="376">
        <v>65439.083519012718</v>
      </c>
      <c r="AK203" s="376">
        <v>63120.858943811218</v>
      </c>
      <c r="AL203" s="376">
        <v>58194.652626772986</v>
      </c>
    </row>
    <row r="204" spans="1:40" ht="14.25" thickBot="1">
      <c r="C204" s="80"/>
      <c r="E204" s="89" t="s">
        <v>246</v>
      </c>
      <c r="F204" s="377"/>
      <c r="G204" s="378"/>
      <c r="H204" s="378"/>
      <c r="I204" s="378">
        <v>245255.2813912991</v>
      </c>
      <c r="J204" s="378">
        <v>265468.64757664385</v>
      </c>
      <c r="K204" s="378">
        <v>276123.21501902386</v>
      </c>
      <c r="L204" s="378">
        <v>275175.14192585461</v>
      </c>
      <c r="M204" s="378">
        <v>260497.14921270817</v>
      </c>
      <c r="N204" s="378">
        <v>245893.7503307694</v>
      </c>
      <c r="O204" s="378">
        <v>231321.50582653456</v>
      </c>
      <c r="P204" s="378">
        <v>216589.47430919623</v>
      </c>
      <c r="Q204" s="378">
        <v>201668.48774268833</v>
      </c>
      <c r="R204" s="378">
        <v>186599.19031922478</v>
      </c>
      <c r="S204" s="378">
        <v>171386.04243545298</v>
      </c>
      <c r="T204" s="378">
        <v>155988.45570954838</v>
      </c>
      <c r="U204" s="378">
        <v>140403.13577606957</v>
      </c>
      <c r="V204" s="378">
        <v>124630.16438849457</v>
      </c>
      <c r="W204" s="378">
        <v>108669.61654481743</v>
      </c>
      <c r="X204" s="378">
        <v>97832.119693870438</v>
      </c>
      <c r="Y204" s="378">
        <v>92951.675687483061</v>
      </c>
      <c r="Z204" s="378">
        <v>89727.555604483219</v>
      </c>
      <c r="AA204" s="378">
        <v>87418.978624318683</v>
      </c>
      <c r="AB204" s="378">
        <v>85109.325911055086</v>
      </c>
      <c r="AC204" s="378">
        <v>82798.640922687788</v>
      </c>
      <c r="AD204" s="378">
        <v>80486.963025483608</v>
      </c>
      <c r="AE204" s="378">
        <v>78174.327749042146</v>
      </c>
      <c r="AF204" s="378">
        <v>75860.767017531747</v>
      </c>
      <c r="AG204" s="378">
        <v>73546.309359009596</v>
      </c>
      <c r="AH204" s="378">
        <v>71230.980094543105</v>
      </c>
      <c r="AI204" s="378">
        <v>68914.801508675271</v>
      </c>
      <c r="AJ204" s="378">
        <v>66597.793002617895</v>
      </c>
      <c r="AK204" s="378">
        <v>64279.971231411968</v>
      </c>
      <c r="AL204" s="378">
        <v>60657.755785292102</v>
      </c>
    </row>
    <row r="205" spans="1:40" ht="3.75" customHeight="1">
      <c r="C205" s="80"/>
      <c r="E205" s="90"/>
      <c r="F205" s="81"/>
    </row>
    <row r="206" spans="1:40" collapsed="1">
      <c r="F206" s="402"/>
    </row>
    <row r="207" spans="1:40">
      <c r="E207" s="403" t="s">
        <v>538</v>
      </c>
      <c r="F207" s="403"/>
      <c r="G207" s="403"/>
      <c r="H207" s="403"/>
      <c r="I207" s="403"/>
      <c r="J207" s="403"/>
      <c r="K207" s="403"/>
      <c r="L207" s="403"/>
      <c r="M207" s="403"/>
      <c r="N207" s="403"/>
      <c r="O207" s="403"/>
      <c r="P207" s="403"/>
      <c r="Q207" s="403"/>
      <c r="R207" s="403"/>
      <c r="S207" s="403"/>
      <c r="T207" s="403"/>
      <c r="U207" s="403"/>
      <c r="V207" s="403"/>
      <c r="W207" s="403"/>
      <c r="X207" s="403"/>
      <c r="Y207" s="403"/>
      <c r="Z207" s="403"/>
      <c r="AA207" s="403"/>
      <c r="AB207" s="403"/>
      <c r="AC207" s="403"/>
      <c r="AD207" s="403"/>
      <c r="AE207" s="403"/>
      <c r="AF207" s="403"/>
      <c r="AG207" s="403"/>
      <c r="AH207" s="403"/>
      <c r="AI207" s="403"/>
      <c r="AJ207" s="403"/>
      <c r="AK207" s="403"/>
      <c r="AL207" s="403"/>
    </row>
    <row r="208" spans="1:40">
      <c r="E208" s="403" t="s">
        <v>538</v>
      </c>
      <c r="F208" s="403"/>
      <c r="G208" s="403"/>
      <c r="H208" s="403"/>
      <c r="I208" s="403"/>
      <c r="J208" s="403"/>
      <c r="K208" s="403"/>
      <c r="L208" s="403"/>
      <c r="M208" s="403"/>
      <c r="N208" s="403"/>
      <c r="O208" s="403"/>
      <c r="P208" s="403"/>
      <c r="Q208" s="403"/>
      <c r="R208" s="403"/>
      <c r="S208" s="403"/>
      <c r="T208" s="403"/>
      <c r="U208" s="403"/>
      <c r="V208" s="403"/>
      <c r="W208" s="403"/>
      <c r="X208" s="403"/>
      <c r="Y208" s="403"/>
      <c r="Z208" s="403"/>
      <c r="AA208" s="403"/>
      <c r="AB208" s="403"/>
      <c r="AC208" s="403"/>
      <c r="AD208" s="403"/>
      <c r="AE208" s="403"/>
      <c r="AF208" s="403"/>
      <c r="AG208" s="403"/>
      <c r="AH208" s="403"/>
      <c r="AI208" s="403"/>
      <c r="AJ208" s="403"/>
      <c r="AK208" s="403"/>
      <c r="AL208" s="403"/>
    </row>
    <row r="209" spans="3:39" ht="14.25" thickBot="1">
      <c r="C209" s="418"/>
      <c r="E209" s="83" t="s">
        <v>443</v>
      </c>
      <c r="F209" s="379">
        <v>0</v>
      </c>
      <c r="G209" s="380">
        <v>-89533.108081217753</v>
      </c>
      <c r="H209" s="380">
        <v>-94604.687551771145</v>
      </c>
      <c r="I209" s="380">
        <v>-32931.140593694014</v>
      </c>
      <c r="J209" s="380">
        <v>7804.6231516796142</v>
      </c>
      <c r="K209" s="380">
        <v>13598.841712508151</v>
      </c>
      <c r="L209" s="380">
        <v>48295.656202326383</v>
      </c>
      <c r="M209" s="380">
        <v>53798.043562134408</v>
      </c>
      <c r="N209" s="380">
        <v>55330.659705163103</v>
      </c>
      <c r="O209" s="380">
        <v>55934.885600720343</v>
      </c>
      <c r="P209" s="380">
        <v>56502.464961340702</v>
      </c>
      <c r="Q209" s="380">
        <v>57111.129357375918</v>
      </c>
      <c r="R209" s="380">
        <v>56922.826179296389</v>
      </c>
      <c r="S209" s="380">
        <v>56604.526206658149</v>
      </c>
      <c r="T209" s="380">
        <v>56297.978431571108</v>
      </c>
      <c r="U209" s="380">
        <v>56009.026876862139</v>
      </c>
      <c r="V209" s="380">
        <v>55736.827744109381</v>
      </c>
      <c r="W209" s="380">
        <v>55480.610469765554</v>
      </c>
      <c r="X209" s="380">
        <v>54283.771896165439</v>
      </c>
      <c r="Y209" s="380">
        <v>53907.364751283545</v>
      </c>
      <c r="Z209" s="380">
        <v>53513.366906555944</v>
      </c>
      <c r="AA209" s="380">
        <v>53297.902674085417</v>
      </c>
      <c r="AB209" s="380">
        <v>53095.497648867684</v>
      </c>
      <c r="AC209" s="380">
        <v>52905.725443690062</v>
      </c>
      <c r="AD209" s="380">
        <v>52728.204726875862</v>
      </c>
      <c r="AE209" s="380">
        <v>52562.596537923397</v>
      </c>
      <c r="AF209" s="380">
        <v>52408.601858581591</v>
      </c>
      <c r="AG209" s="380">
        <v>52265.959419157181</v>
      </c>
      <c r="AH209" s="380">
        <v>52134.443721895645</v>
      </c>
      <c r="AI209" s="380">
        <v>52013.863265131411</v>
      </c>
      <c r="AJ209" s="380">
        <v>51904.058953597465</v>
      </c>
      <c r="AK209" s="380">
        <v>51804.90268182203</v>
      </c>
      <c r="AL209" s="380">
        <v>54495.045774093705</v>
      </c>
      <c r="AM209" s="82">
        <v>27931.676130000003</v>
      </c>
    </row>
    <row r="210" spans="3:39">
      <c r="C210" s="418"/>
    </row>
    <row r="211" spans="3:39" ht="14.25" thickBot="1">
      <c r="C211" s="418"/>
      <c r="E211" s="399" t="s">
        <v>690</v>
      </c>
      <c r="F211" s="400">
        <v>0</v>
      </c>
      <c r="G211" s="401">
        <v>-89533.108081217753</v>
      </c>
      <c r="H211" s="401">
        <v>-94604.687551771145</v>
      </c>
      <c r="I211" s="401">
        <v>-32931.140593694014</v>
      </c>
      <c r="J211" s="401">
        <v>7804.6231516796142</v>
      </c>
      <c r="K211" s="401">
        <v>13598.841712508151</v>
      </c>
      <c r="L211" s="401">
        <v>48295.656202326383</v>
      </c>
      <c r="M211" s="401">
        <v>53798.0435621344</v>
      </c>
      <c r="N211" s="401">
        <v>55330.659705163103</v>
      </c>
      <c r="O211" s="401">
        <v>55934.885600720343</v>
      </c>
      <c r="P211" s="401">
        <v>56502.464961340702</v>
      </c>
      <c r="Q211" s="401">
        <v>57111.12935737591</v>
      </c>
      <c r="R211" s="401">
        <v>56922.826179296389</v>
      </c>
      <c r="S211" s="401">
        <v>56604.526206658156</v>
      </c>
      <c r="T211" s="401">
        <v>56297.978431571108</v>
      </c>
      <c r="U211" s="401">
        <v>56009.026876862132</v>
      </c>
      <c r="V211" s="401">
        <v>55736.827744109381</v>
      </c>
      <c r="W211" s="401">
        <v>55480.610469765546</v>
      </c>
      <c r="X211" s="401">
        <v>54283.771896165439</v>
      </c>
      <c r="Y211" s="401">
        <v>53907.364751283538</v>
      </c>
      <c r="Z211" s="401">
        <v>53513.366906555937</v>
      </c>
      <c r="AA211" s="401">
        <v>53297.902674085417</v>
      </c>
      <c r="AB211" s="401">
        <v>53095.497648867677</v>
      </c>
      <c r="AC211" s="401">
        <v>52905.725443690055</v>
      </c>
      <c r="AD211" s="401">
        <v>52728.204726875862</v>
      </c>
      <c r="AE211" s="401">
        <v>52562.596537923404</v>
      </c>
      <c r="AF211" s="401">
        <v>52408.601858581591</v>
      </c>
      <c r="AG211" s="401">
        <v>52265.959419157181</v>
      </c>
      <c r="AH211" s="401">
        <v>52134.443721895637</v>
      </c>
      <c r="AI211" s="401">
        <v>52013.863265131411</v>
      </c>
      <c r="AJ211" s="401">
        <v>51904.058953597465</v>
      </c>
      <c r="AK211" s="401">
        <v>51804.90268182203</v>
      </c>
      <c r="AL211" s="401">
        <v>54495.045774093705</v>
      </c>
      <c r="AM211" s="82">
        <v>27931.676130000003</v>
      </c>
    </row>
    <row r="212" spans="3:39">
      <c r="E212" s="542" t="s">
        <v>413</v>
      </c>
      <c r="F212" s="543">
        <v>0</v>
      </c>
      <c r="G212" s="381">
        <v>-99.57117421774943</v>
      </c>
      <c r="H212" s="381">
        <v>-584.81541877114353</v>
      </c>
      <c r="I212" s="381">
        <v>12932.211666305977</v>
      </c>
      <c r="J212" s="381">
        <v>32822.790764679616</v>
      </c>
      <c r="K212" s="381">
        <v>43892.009325508152</v>
      </c>
      <c r="L212" s="381">
        <v>51088.823815326381</v>
      </c>
      <c r="M212" s="381">
        <v>56591.211175134398</v>
      </c>
      <c r="N212" s="381">
        <v>58123.827318163101</v>
      </c>
      <c r="O212" s="381">
        <v>58728.053213720341</v>
      </c>
      <c r="P212" s="381">
        <v>59295.6325743407</v>
      </c>
      <c r="Q212" s="381">
        <v>59904.296970375908</v>
      </c>
      <c r="R212" s="381">
        <v>59715.993792296387</v>
      </c>
      <c r="S212" s="381">
        <v>59397.693819658154</v>
      </c>
      <c r="T212" s="381">
        <v>59091.146044571105</v>
      </c>
      <c r="U212" s="381">
        <v>58802.19448986213</v>
      </c>
      <c r="V212" s="381">
        <v>58529.995357109379</v>
      </c>
      <c r="W212" s="381">
        <v>58273.778082765544</v>
      </c>
      <c r="X212" s="381">
        <v>57076.939509165437</v>
      </c>
      <c r="Y212" s="381">
        <v>56700.532364283536</v>
      </c>
      <c r="Z212" s="381">
        <v>56306.534519555935</v>
      </c>
      <c r="AA212" s="381">
        <v>56091.070287085415</v>
      </c>
      <c r="AB212" s="381">
        <v>55888.665261867674</v>
      </c>
      <c r="AC212" s="381">
        <v>55698.893056690053</v>
      </c>
      <c r="AD212" s="381">
        <v>55521.372339875859</v>
      </c>
      <c r="AE212" s="381">
        <v>55355.764150923402</v>
      </c>
      <c r="AF212" s="381">
        <v>55201.769471581589</v>
      </c>
      <c r="AG212" s="381">
        <v>55059.127032157179</v>
      </c>
      <c r="AH212" s="381">
        <v>54927.611334895635</v>
      </c>
      <c r="AI212" s="381">
        <v>54807.030878131409</v>
      </c>
      <c r="AJ212" s="381">
        <v>54697.226566597463</v>
      </c>
      <c r="AK212" s="381">
        <v>54598.070294822028</v>
      </c>
      <c r="AL212" s="381">
        <v>54495.045774093705</v>
      </c>
    </row>
    <row r="213" spans="3:39">
      <c r="E213" s="542" t="s">
        <v>691</v>
      </c>
      <c r="F213" s="544">
        <v>0</v>
      </c>
      <c r="G213" s="381">
        <v>-89433.536907000002</v>
      </c>
      <c r="H213" s="381">
        <v>-94019.872132999997</v>
      </c>
      <c r="I213" s="381">
        <v>-45863.352259999992</v>
      </c>
      <c r="J213" s="381">
        <v>-25018.167613000001</v>
      </c>
      <c r="K213" s="381">
        <v>-30293.167613000001</v>
      </c>
      <c r="L213" s="381">
        <v>-2793.1676130000001</v>
      </c>
      <c r="M213" s="381">
        <v>-2793.1676130000001</v>
      </c>
      <c r="N213" s="381">
        <v>-2793.1676130000001</v>
      </c>
      <c r="O213" s="381">
        <v>-2793.1676130000001</v>
      </c>
      <c r="P213" s="381">
        <v>-2793.1676130000001</v>
      </c>
      <c r="Q213" s="381">
        <v>-2793.1676130000001</v>
      </c>
      <c r="R213" s="381">
        <v>-2793.1676130000001</v>
      </c>
      <c r="S213" s="381">
        <v>-2793.1676130000001</v>
      </c>
      <c r="T213" s="381">
        <v>-2793.1676130000001</v>
      </c>
      <c r="U213" s="381">
        <v>-2793.1676130000001</v>
      </c>
      <c r="V213" s="381">
        <v>-2793.1676130000001</v>
      </c>
      <c r="W213" s="381">
        <v>-2793.1676130000001</v>
      </c>
      <c r="X213" s="381">
        <v>-2793.1676130000001</v>
      </c>
      <c r="Y213" s="381">
        <v>-2793.1676130000001</v>
      </c>
      <c r="Z213" s="381">
        <v>-2793.1676130000001</v>
      </c>
      <c r="AA213" s="381">
        <v>-2793.1676130000001</v>
      </c>
      <c r="AB213" s="381">
        <v>-2793.1676130000001</v>
      </c>
      <c r="AC213" s="381">
        <v>-2793.1676130000001</v>
      </c>
      <c r="AD213" s="381">
        <v>-2793.1676130000001</v>
      </c>
      <c r="AE213" s="381">
        <v>-2793.1676130000001</v>
      </c>
      <c r="AF213" s="381">
        <v>-2793.1676130000001</v>
      </c>
      <c r="AG213" s="381">
        <v>-2793.1676130000001</v>
      </c>
      <c r="AH213" s="381">
        <v>-2793.1676130000001</v>
      </c>
      <c r="AI213" s="381">
        <v>-2793.1676130000001</v>
      </c>
      <c r="AJ213" s="381">
        <v>-2793.1676130000001</v>
      </c>
      <c r="AK213" s="381">
        <v>-2793.1676130000001</v>
      </c>
      <c r="AL213" s="381">
        <v>0</v>
      </c>
    </row>
    <row r="214" spans="3:39" ht="14.25" thickBot="1">
      <c r="E214" s="545" t="s">
        <v>416</v>
      </c>
      <c r="F214" s="546">
        <v>0</v>
      </c>
      <c r="G214" s="547">
        <v>0</v>
      </c>
      <c r="H214" s="547">
        <v>0</v>
      </c>
      <c r="I214" s="547">
        <v>0</v>
      </c>
      <c r="J214" s="547">
        <v>0</v>
      </c>
      <c r="K214" s="547">
        <v>0</v>
      </c>
      <c r="L214" s="547">
        <v>0</v>
      </c>
      <c r="M214" s="547">
        <v>0</v>
      </c>
      <c r="N214" s="547">
        <v>0</v>
      </c>
      <c r="O214" s="547">
        <v>0</v>
      </c>
      <c r="P214" s="547">
        <v>0</v>
      </c>
      <c r="Q214" s="547">
        <v>0</v>
      </c>
      <c r="R214" s="547">
        <v>0</v>
      </c>
      <c r="S214" s="547">
        <v>0</v>
      </c>
      <c r="T214" s="547">
        <v>0</v>
      </c>
      <c r="U214" s="547">
        <v>0</v>
      </c>
      <c r="V214" s="547">
        <v>0</v>
      </c>
      <c r="W214" s="547">
        <v>0</v>
      </c>
      <c r="X214" s="547">
        <v>0</v>
      </c>
      <c r="Y214" s="547">
        <v>0</v>
      </c>
      <c r="Z214" s="547">
        <v>0</v>
      </c>
      <c r="AA214" s="547">
        <v>0</v>
      </c>
      <c r="AB214" s="547">
        <v>0</v>
      </c>
      <c r="AC214" s="547">
        <v>0</v>
      </c>
      <c r="AD214" s="547">
        <v>0</v>
      </c>
      <c r="AE214" s="547">
        <v>0</v>
      </c>
      <c r="AF214" s="547">
        <v>0</v>
      </c>
      <c r="AG214" s="547">
        <v>0</v>
      </c>
      <c r="AH214" s="547">
        <v>0</v>
      </c>
      <c r="AI214" s="547">
        <v>0</v>
      </c>
      <c r="AJ214" s="547">
        <v>0</v>
      </c>
      <c r="AK214" s="547">
        <v>0</v>
      </c>
      <c r="AL214" s="547">
        <v>0</v>
      </c>
    </row>
    <row r="216" spans="3:39">
      <c r="E216" s="18" t="s">
        <v>247</v>
      </c>
    </row>
    <row r="217" spans="3:39">
      <c r="E217" s="18" t="s">
        <v>248</v>
      </c>
      <c r="F217" s="381"/>
      <c r="G217" s="381">
        <v>0</v>
      </c>
      <c r="H217" s="381">
        <v>0</v>
      </c>
      <c r="I217" s="381">
        <v>38244.507884787403</v>
      </c>
      <c r="J217" s="381">
        <v>94095.485283688118</v>
      </c>
      <c r="K217" s="381">
        <v>95853.83376359992</v>
      </c>
      <c r="L217" s="381">
        <v>95041.011060255492</v>
      </c>
      <c r="M217" s="381">
        <v>94358.459676945655</v>
      </c>
      <c r="N217" s="381">
        <v>93927.515092435642</v>
      </c>
      <c r="O217" s="381">
        <v>93496.244728526275</v>
      </c>
      <c r="P217" s="381">
        <v>93060.363626563529</v>
      </c>
      <c r="Q217" s="381">
        <v>92619.638189259276</v>
      </c>
      <c r="R217" s="381">
        <v>92252.76120894168</v>
      </c>
      <c r="S217" s="381">
        <v>91887.629556656655</v>
      </c>
      <c r="T217" s="381">
        <v>91524.424839757805</v>
      </c>
      <c r="U217" s="381">
        <v>91163.335252239442</v>
      </c>
      <c r="V217" s="381">
        <v>90804.555778469046</v>
      </c>
      <c r="W217" s="381">
        <v>90448.288402963066</v>
      </c>
      <c r="X217" s="381">
        <v>90094.742326383959</v>
      </c>
      <c r="Y217" s="381">
        <v>89744.134187941061</v>
      </c>
      <c r="Z217" s="381">
        <v>89396.688294383974</v>
      </c>
      <c r="AA217" s="381">
        <v>89052.636855782155</v>
      </c>
      <c r="AB217" s="381">
        <v>88712.220228290447</v>
      </c>
      <c r="AC217" s="381">
        <v>88375.687164105912</v>
      </c>
      <c r="AD217" s="381">
        <v>88043.29506882788</v>
      </c>
      <c r="AE217" s="381">
        <v>87715.31026643829</v>
      </c>
      <c r="AF217" s="381">
        <v>87392.008272127481</v>
      </c>
      <c r="AG217" s="381">
        <v>87073.674073195289</v>
      </c>
      <c r="AH217" s="381">
        <v>86760.602418265917</v>
      </c>
      <c r="AI217" s="381">
        <v>86453.098115060653</v>
      </c>
      <c r="AJ217" s="381">
        <v>86151.476336980399</v>
      </c>
      <c r="AK217" s="381">
        <v>85856.062938757532</v>
      </c>
      <c r="AL217" s="381">
        <v>85567.194781443817</v>
      </c>
    </row>
    <row r="218" spans="3:39">
      <c r="E218" s="18" t="s">
        <v>249</v>
      </c>
      <c r="F218" s="381"/>
      <c r="G218" s="381">
        <v>0</v>
      </c>
      <c r="H218" s="381">
        <v>0</v>
      </c>
      <c r="I218" s="381">
        <v>0</v>
      </c>
      <c r="J218" s="381">
        <v>2662.377118874173</v>
      </c>
      <c r="K218" s="381">
        <v>3887.0848387024844</v>
      </c>
      <c r="L218" s="381">
        <v>5574.7478584738456</v>
      </c>
      <c r="M218" s="381">
        <v>8058.183673110796</v>
      </c>
      <c r="N218" s="381">
        <v>8765.0992282677053</v>
      </c>
      <c r="O218" s="381">
        <v>8650.8271691392001</v>
      </c>
      <c r="P218" s="381">
        <v>8513.4920571979746</v>
      </c>
      <c r="Q218" s="381">
        <v>8385.3371447711525</v>
      </c>
      <c r="R218" s="381">
        <v>8266.0481554175331</v>
      </c>
      <c r="S218" s="381">
        <v>8154.8539355180965</v>
      </c>
      <c r="T218" s="381">
        <v>8051.2656709647226</v>
      </c>
      <c r="U218" s="381">
        <v>7954.8326857131669</v>
      </c>
      <c r="V218" s="381">
        <v>7865.1394082308962</v>
      </c>
      <c r="W218" s="381">
        <v>7781.8026102348013</v>
      </c>
      <c r="X218" s="381">
        <v>7704.4688924292896</v>
      </c>
      <c r="Y218" s="381">
        <v>7632.8123944931785</v>
      </c>
      <c r="Z218" s="381">
        <v>7566.5327088387148</v>
      </c>
      <c r="AA218" s="381">
        <v>7505.3529797063975</v>
      </c>
      <c r="AB218" s="381">
        <v>7449.018170991053</v>
      </c>
      <c r="AC218" s="381">
        <v>7397.2934878403948</v>
      </c>
      <c r="AD218" s="381">
        <v>7349.962938547309</v>
      </c>
      <c r="AE218" s="381">
        <v>7306.8280245892547</v>
      </c>
      <c r="AF218" s="381">
        <v>7267.7065478686982</v>
      </c>
      <c r="AG218" s="381">
        <v>7232.4315252911665</v>
      </c>
      <c r="AH218" s="381">
        <v>7200.8502017954715</v>
      </c>
      <c r="AI218" s="381">
        <v>7172.8231538350146</v>
      </c>
      <c r="AJ218" s="381">
        <v>7148.2234761098325</v>
      </c>
      <c r="AK218" s="381">
        <v>7126.9360450755603</v>
      </c>
      <c r="AL218" s="381">
        <v>7114.7486362924656</v>
      </c>
    </row>
    <row r="219" spans="3:39">
      <c r="E219" s="18" t="s">
        <v>250</v>
      </c>
      <c r="F219" s="381"/>
      <c r="G219" s="381">
        <v>0</v>
      </c>
      <c r="H219" s="381">
        <v>0</v>
      </c>
      <c r="I219" s="381">
        <v>0</v>
      </c>
      <c r="J219" s="381">
        <v>0</v>
      </c>
      <c r="K219" s="381">
        <v>19415.43376898241</v>
      </c>
      <c r="L219" s="381">
        <v>34211.884873847906</v>
      </c>
      <c r="M219" s="381">
        <v>44472.047935042821</v>
      </c>
      <c r="N219" s="381">
        <v>46422.416672662948</v>
      </c>
      <c r="O219" s="381">
        <v>48087.200676133347</v>
      </c>
      <c r="P219" s="381">
        <v>49844.025925674003</v>
      </c>
      <c r="Q219" s="381">
        <v>51697.425278290939</v>
      </c>
      <c r="R219" s="381">
        <v>51371.757177011714</v>
      </c>
      <c r="S219" s="381">
        <v>50980.620751002141</v>
      </c>
      <c r="T219" s="381">
        <v>50623.479316481142</v>
      </c>
      <c r="U219" s="381">
        <v>50298.580670379379</v>
      </c>
      <c r="V219" s="381">
        <v>50004.313077885687</v>
      </c>
      <c r="W219" s="381">
        <v>49739.194785952051</v>
      </c>
      <c r="X219" s="381">
        <v>49501.864470864231</v>
      </c>
      <c r="Y219" s="381">
        <v>49291.072536616462</v>
      </c>
      <c r="Z219" s="381">
        <v>49105.673189077264</v>
      </c>
      <c r="AA219" s="381">
        <v>48944.617218353604</v>
      </c>
      <c r="AB219" s="381">
        <v>48806.94542844309</v>
      </c>
      <c r="AC219" s="381">
        <v>48691.782659287172</v>
      </c>
      <c r="AD219" s="381">
        <v>48598.332351774792</v>
      </c>
      <c r="AE219" s="381">
        <v>48525.871611157942</v>
      </c>
      <c r="AF219" s="381">
        <v>48473.746728784972</v>
      </c>
      <c r="AG219" s="381">
        <v>48441.369126085316</v>
      </c>
      <c r="AH219" s="381">
        <v>48428.211688395306</v>
      </c>
      <c r="AI219" s="381">
        <v>48433.805459538766</v>
      </c>
      <c r="AJ219" s="381">
        <v>48457.73667110745</v>
      </c>
      <c r="AK219" s="381">
        <v>48499.644083152845</v>
      </c>
      <c r="AL219" s="381">
        <v>48559.216615537356</v>
      </c>
    </row>
    <row r="220" spans="3:39">
      <c r="E220" s="18" t="s">
        <v>251</v>
      </c>
      <c r="F220" s="381"/>
      <c r="G220" s="381">
        <v>0</v>
      </c>
      <c r="H220" s="381">
        <v>0</v>
      </c>
      <c r="I220" s="381">
        <v>3465.6540603616436</v>
      </c>
      <c r="J220" s="381">
        <v>8461.1092939397258</v>
      </c>
      <c r="K220" s="381">
        <v>8614.5185280000005</v>
      </c>
      <c r="L220" s="381">
        <v>8614.5185280000005</v>
      </c>
      <c r="M220" s="381">
        <v>8614.5185280000005</v>
      </c>
      <c r="N220" s="381">
        <v>8614.5185280000005</v>
      </c>
      <c r="O220" s="381">
        <v>8614.5185280000005</v>
      </c>
      <c r="P220" s="381">
        <v>8614.5185280000005</v>
      </c>
      <c r="Q220" s="381">
        <v>8614.5185280000005</v>
      </c>
      <c r="R220" s="381">
        <v>8614.5185280000005</v>
      </c>
      <c r="S220" s="381">
        <v>8614.5185280000005</v>
      </c>
      <c r="T220" s="381">
        <v>8614.5185280000005</v>
      </c>
      <c r="U220" s="381">
        <v>8614.5185280000005</v>
      </c>
      <c r="V220" s="381">
        <v>8614.5185280000005</v>
      </c>
      <c r="W220" s="381">
        <v>8614.5185280000005</v>
      </c>
      <c r="X220" s="381">
        <v>8614.5185280000005</v>
      </c>
      <c r="Y220" s="381">
        <v>8614.5185280000005</v>
      </c>
      <c r="Z220" s="381">
        <v>8614.5185280000005</v>
      </c>
      <c r="AA220" s="381">
        <v>8614.5185280000005</v>
      </c>
      <c r="AB220" s="381">
        <v>8614.5185280000005</v>
      </c>
      <c r="AC220" s="381">
        <v>8614.5185280000005</v>
      </c>
      <c r="AD220" s="381">
        <v>8614.5185280000005</v>
      </c>
      <c r="AE220" s="381">
        <v>8614.5185280000005</v>
      </c>
      <c r="AF220" s="381">
        <v>8614.5185280000005</v>
      </c>
      <c r="AG220" s="381">
        <v>8614.5185280000005</v>
      </c>
      <c r="AH220" s="381">
        <v>8614.5185280000005</v>
      </c>
      <c r="AI220" s="381">
        <v>8614.5185280000005</v>
      </c>
      <c r="AJ220" s="381">
        <v>8614.5185280000005</v>
      </c>
      <c r="AK220" s="381">
        <v>8614.5185280000005</v>
      </c>
      <c r="AL220" s="381">
        <v>8614.5185280000005</v>
      </c>
    </row>
    <row r="221" spans="3:39">
      <c r="E221" s="18" t="s">
        <v>94</v>
      </c>
      <c r="F221" s="381"/>
      <c r="G221" s="381">
        <v>0</v>
      </c>
      <c r="H221" s="381">
        <v>0</v>
      </c>
      <c r="I221" s="381">
        <v>41710.161945149048</v>
      </c>
      <c r="J221" s="381">
        <v>105218.97169650201</v>
      </c>
      <c r="K221" s="381">
        <v>127770.87089928481</v>
      </c>
      <c r="L221" s="381">
        <v>143442.16232057725</v>
      </c>
      <c r="M221" s="381">
        <v>155503.20981309927</v>
      </c>
      <c r="N221" s="381">
        <v>157729.54952136631</v>
      </c>
      <c r="O221" s="381">
        <v>158848.79110179882</v>
      </c>
      <c r="P221" s="381">
        <v>160032.4001374355</v>
      </c>
      <c r="Q221" s="381">
        <v>161316.91914032138</v>
      </c>
      <c r="R221" s="381">
        <v>160505.08506937092</v>
      </c>
      <c r="S221" s="381">
        <v>159637.62277117689</v>
      </c>
      <c r="T221" s="381">
        <v>158813.68835520366</v>
      </c>
      <c r="U221" s="381">
        <v>158031.267136332</v>
      </c>
      <c r="V221" s="381">
        <v>157288.52679258562</v>
      </c>
      <c r="W221" s="381">
        <v>156583.8043271499</v>
      </c>
      <c r="X221" s="381">
        <v>155915.59421767748</v>
      </c>
      <c r="Y221" s="381">
        <v>155282.53764705069</v>
      </c>
      <c r="Z221" s="381">
        <v>154683.41272029997</v>
      </c>
      <c r="AA221" s="381">
        <v>154117.12558184215</v>
      </c>
      <c r="AB221" s="381">
        <v>153582.70235572458</v>
      </c>
      <c r="AC221" s="381">
        <v>153079.28183923347</v>
      </c>
      <c r="AD221" s="381">
        <v>152606.10888714998</v>
      </c>
      <c r="AE221" s="381">
        <v>152162.52843018548</v>
      </c>
      <c r="AF221" s="381">
        <v>151747.98007678115</v>
      </c>
      <c r="AG221" s="381">
        <v>151361.99325257176</v>
      </c>
      <c r="AH221" s="381">
        <v>151004.18283645669</v>
      </c>
      <c r="AI221" s="381">
        <v>150674.24525643443</v>
      </c>
      <c r="AJ221" s="381">
        <v>150371.95501219769</v>
      </c>
      <c r="AK221" s="381">
        <v>150097.16159498593</v>
      </c>
      <c r="AL221" s="381">
        <v>149855.67856127364</v>
      </c>
    </row>
    <row r="222" spans="3:39">
      <c r="E222" s="18" t="s">
        <v>81</v>
      </c>
      <c r="F222" s="381"/>
      <c r="G222" s="381">
        <v>-113.57337059212044</v>
      </c>
      <c r="H222" s="381">
        <v>-651.08383179631869</v>
      </c>
      <c r="I222" s="381">
        <v>14152.135199971333</v>
      </c>
      <c r="J222" s="381">
        <v>36651.569254846516</v>
      </c>
      <c r="K222" s="381">
        <v>47567.134682362805</v>
      </c>
      <c r="L222" s="381">
        <v>55159.305989633191</v>
      </c>
      <c r="M222" s="381">
        <v>61032.080539313079</v>
      </c>
      <c r="N222" s="381">
        <v>62280.048276078567</v>
      </c>
      <c r="O222" s="381">
        <v>62865.699136480194</v>
      </c>
      <c r="P222" s="381">
        <v>63472.838300945194</v>
      </c>
      <c r="Q222" s="381">
        <v>64127.472208170941</v>
      </c>
      <c r="R222" s="381">
        <v>63814.643325243065</v>
      </c>
      <c r="S222" s="381">
        <v>63440.831999536553</v>
      </c>
      <c r="T222" s="381">
        <v>63087.269233797299</v>
      </c>
      <c r="U222" s="381">
        <v>62752.949280411682</v>
      </c>
      <c r="V222" s="381">
        <v>62436.952597505733</v>
      </c>
      <c r="W222" s="381">
        <v>62138.43955002891</v>
      </c>
      <c r="X222" s="381">
        <v>61856.644679527453</v>
      </c>
      <c r="Y222" s="381">
        <v>61590.871491773338</v>
      </c>
      <c r="Z222" s="381">
        <v>61340.487716467491</v>
      </c>
      <c r="AA222" s="381">
        <v>61104.920997778398</v>
      </c>
      <c r="AB222" s="381">
        <v>60883.65497856625</v>
      </c>
      <c r="AC222" s="381">
        <v>60676.225744824595</v>
      </c>
      <c r="AD222" s="381">
        <v>60482.218600194734</v>
      </c>
      <c r="AE222" s="381">
        <v>60301.2651434047</v>
      </c>
      <c r="AF222" s="381">
        <v>60133.0406241987</v>
      </c>
      <c r="AG222" s="381">
        <v>59977.26155577536</v>
      </c>
      <c r="AH222" s="381">
        <v>59833.683563981926</v>
      </c>
      <c r="AI222" s="381">
        <v>59702.099455530217</v>
      </c>
      <c r="AJ222" s="381">
        <v>59582.337489345584</v>
      </c>
      <c r="AK222" s="381">
        <v>59474.259836835394</v>
      </c>
      <c r="AL222" s="381">
        <v>59380.589274183076</v>
      </c>
    </row>
    <row r="223" spans="3:39">
      <c r="E223" s="18" t="s">
        <v>252</v>
      </c>
      <c r="F223" s="258"/>
      <c r="G223" s="258">
        <v>0</v>
      </c>
      <c r="H223" s="258">
        <v>0</v>
      </c>
      <c r="I223" s="258">
        <v>0.33929705711960795</v>
      </c>
      <c r="J223" s="258">
        <v>0.34833612858872859</v>
      </c>
      <c r="K223" s="258">
        <v>0.37228465570887065</v>
      </c>
      <c r="L223" s="258">
        <v>0.38454039661196887</v>
      </c>
      <c r="M223" s="258">
        <v>0.39248116236743985</v>
      </c>
      <c r="N223" s="258">
        <v>0.39485339598742725</v>
      </c>
      <c r="O223" s="258">
        <v>0.39575812129531718</v>
      </c>
      <c r="P223" s="258">
        <v>0.39662492249341291</v>
      </c>
      <c r="Q223" s="258">
        <v>0.39752477638374506</v>
      </c>
      <c r="R223" s="258">
        <v>0.39758642723164894</v>
      </c>
      <c r="S223" s="258">
        <v>0.3974052663667641</v>
      </c>
      <c r="T223" s="258">
        <v>0.39724075353439264</v>
      </c>
      <c r="U223" s="258">
        <v>0.3970919832356678</v>
      </c>
      <c r="V223" s="258">
        <v>0.39695808633162766</v>
      </c>
      <c r="W223" s="258">
        <v>0.39683822868553714</v>
      </c>
      <c r="X223" s="258">
        <v>0.39673160975269678</v>
      </c>
      <c r="Y223" s="258">
        <v>0.39663746114045517</v>
      </c>
      <c r="Z223" s="258">
        <v>0.3965550451578409</v>
      </c>
      <c r="AA223" s="258">
        <v>0.39648365337134012</v>
      </c>
      <c r="AB223" s="258">
        <v>0.3964226051808164</v>
      </c>
      <c r="AC223" s="258">
        <v>0.39637124642737626</v>
      </c>
      <c r="AD223" s="258">
        <v>0.39632894804309876</v>
      </c>
      <c r="AE223" s="258">
        <v>0.39629510475091673</v>
      </c>
      <c r="AF223" s="258">
        <v>0.39626913382156848</v>
      </c>
      <c r="AG223" s="258">
        <v>0.3962504738933616</v>
      </c>
      <c r="AH223" s="258">
        <v>0.39623858385952193</v>
      </c>
      <c r="AI223" s="258">
        <v>0.39623294182706836</v>
      </c>
      <c r="AJ223" s="258">
        <v>0.39623304415050303</v>
      </c>
      <c r="AK223" s="258">
        <v>0.39623840454303544</v>
      </c>
      <c r="AL223" s="258">
        <v>0.39625184607137381</v>
      </c>
    </row>
    <row r="225" spans="5:18">
      <c r="E225" s="18" t="s">
        <v>253</v>
      </c>
      <c r="G225" s="381"/>
      <c r="I225" s="381">
        <v>0</v>
      </c>
      <c r="J225" s="381">
        <v>0</v>
      </c>
      <c r="K225" s="381">
        <v>0</v>
      </c>
      <c r="L225" s="381">
        <v>0</v>
      </c>
      <c r="M225" s="381">
        <v>0</v>
      </c>
      <c r="N225" s="381">
        <v>0</v>
      </c>
      <c r="O225" s="381">
        <v>0</v>
      </c>
      <c r="P225" s="381">
        <v>0</v>
      </c>
      <c r="Q225" s="381">
        <v>0</v>
      </c>
      <c r="R225" s="381">
        <v>0</v>
      </c>
    </row>
    <row r="226" spans="5:18">
      <c r="G226" s="259"/>
      <c r="I226" s="259">
        <v>0</v>
      </c>
      <c r="J226" s="259">
        <v>0</v>
      </c>
      <c r="K226" s="259">
        <v>0</v>
      </c>
      <c r="L226" s="259">
        <v>0</v>
      </c>
      <c r="M226" s="259">
        <v>0</v>
      </c>
      <c r="N226" s="259">
        <v>0</v>
      </c>
      <c r="O226" s="259">
        <v>0</v>
      </c>
      <c r="P226" s="259">
        <v>0</v>
      </c>
      <c r="Q226" s="259">
        <v>0</v>
      </c>
      <c r="R226" s="259">
        <v>0</v>
      </c>
    </row>
  </sheetData>
  <conditionalFormatting sqref="G131">
    <cfRule type="cellIs" dxfId="3" priority="1" operator="lessThan">
      <formula>0</formula>
    </cfRule>
  </conditionalFormatting>
  <conditionalFormatting sqref="I131:AL131">
    <cfRule type="cellIs" dxfId="2" priority="2" operator="lessThan">
      <formula>0</formula>
    </cfRule>
  </conditionalFormatting>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C73BB-AFD6-45FA-B0C5-90C491F91785}">
  <sheetPr>
    <tabColor theme="3" tint="0.79998168889431442"/>
  </sheetPr>
  <dimension ref="A1:AO91"/>
  <sheetViews>
    <sheetView workbookViewId="0"/>
  </sheetViews>
  <sheetFormatPr defaultColWidth="7.109375" defaultRowHeight="15.75"/>
  <cols>
    <col min="1" max="2" width="1.6640625" style="271" customWidth="1"/>
    <col min="3" max="3" width="30.6640625" style="271" customWidth="1"/>
    <col min="4" max="4" width="13.5546875" style="271" bestFit="1" customWidth="1"/>
    <col min="5" max="5" width="14.5546875" style="271" bestFit="1" customWidth="1"/>
    <col min="6" max="6" width="15.6640625" style="271" bestFit="1" customWidth="1"/>
    <col min="7" max="7" width="15" style="271" bestFit="1" customWidth="1"/>
    <col min="8" max="8" width="15.33203125" style="271" bestFit="1" customWidth="1"/>
    <col min="9" max="9" width="14.6640625" style="271" bestFit="1" customWidth="1"/>
    <col min="10" max="10" width="14.33203125" style="271" bestFit="1" customWidth="1"/>
    <col min="11" max="11" width="14" style="271" bestFit="1" customWidth="1"/>
    <col min="12" max="12" width="14.44140625" style="271" bestFit="1" customWidth="1"/>
    <col min="13" max="13" width="13.88671875" style="271" bestFit="1" customWidth="1"/>
    <col min="14" max="15" width="13.109375" style="271" bestFit="1" customWidth="1"/>
    <col min="16" max="16" width="12.5546875" style="271" bestFit="1" customWidth="1"/>
    <col min="17" max="17" width="11.6640625" style="271" bestFit="1" customWidth="1"/>
    <col min="18" max="18" width="11.88671875" style="271" bestFit="1" customWidth="1"/>
    <col min="19" max="19" width="11.33203125" style="271" bestFit="1" customWidth="1"/>
    <col min="20" max="36" width="11" style="271" bestFit="1" customWidth="1"/>
    <col min="37" max="37" width="1.6640625" style="271" customWidth="1"/>
    <col min="38" max="38" width="1.6640625" style="270" customWidth="1"/>
    <col min="39" max="16384" width="7.109375" style="271"/>
  </cols>
  <sheetData>
    <row r="1" spans="1:38" s="270" customFormat="1"/>
    <row r="2" spans="1:38" ht="51" customHeight="1">
      <c r="A2" s="270"/>
      <c r="B2" s="32"/>
      <c r="C2" s="33" t="s">
        <v>556</v>
      </c>
    </row>
    <row r="3" spans="1:38">
      <c r="A3" s="270"/>
      <c r="D3" s="276"/>
      <c r="E3" s="292"/>
      <c r="F3" s="292"/>
      <c r="G3" s="292"/>
      <c r="I3" s="276"/>
      <c r="J3" s="276"/>
      <c r="K3" s="276"/>
    </row>
    <row r="4" spans="1:38" ht="16.5" thickBot="1">
      <c r="A4" s="270"/>
      <c r="C4" s="48"/>
      <c r="D4" s="49">
        <v>2023</v>
      </c>
      <c r="E4" s="50">
        <v>2024</v>
      </c>
      <c r="F4" s="50">
        <v>2025</v>
      </c>
      <c r="G4" s="50">
        <v>2026</v>
      </c>
      <c r="H4" s="50">
        <v>2027</v>
      </c>
      <c r="I4" s="50">
        <v>2028</v>
      </c>
      <c r="J4" s="50">
        <v>2029</v>
      </c>
      <c r="K4" s="50">
        <v>2030</v>
      </c>
      <c r="L4" s="50">
        <v>2031</v>
      </c>
      <c r="M4" s="50">
        <v>2032</v>
      </c>
      <c r="N4" s="50">
        <v>2033</v>
      </c>
      <c r="O4" s="50">
        <v>2034</v>
      </c>
      <c r="P4" s="50">
        <v>2035</v>
      </c>
      <c r="Q4" s="50">
        <v>2036</v>
      </c>
      <c r="R4" s="50">
        <v>2037</v>
      </c>
      <c r="S4" s="50">
        <v>2038</v>
      </c>
      <c r="T4" s="50">
        <v>2039</v>
      </c>
      <c r="U4" s="50">
        <v>2040</v>
      </c>
      <c r="V4" s="50">
        <v>2041</v>
      </c>
      <c r="W4" s="50">
        <v>2042</v>
      </c>
      <c r="X4" s="50">
        <v>2043</v>
      </c>
      <c r="Y4" s="50">
        <v>2044</v>
      </c>
      <c r="Z4" s="50">
        <v>2045</v>
      </c>
      <c r="AA4" s="50">
        <v>2046</v>
      </c>
      <c r="AB4" s="50">
        <v>2047</v>
      </c>
      <c r="AC4" s="50">
        <v>2048</v>
      </c>
      <c r="AD4" s="50">
        <v>2049</v>
      </c>
      <c r="AE4" s="50">
        <v>2050</v>
      </c>
      <c r="AF4" s="50">
        <v>2051</v>
      </c>
      <c r="AG4" s="50">
        <v>2052</v>
      </c>
      <c r="AH4" s="50">
        <v>2053</v>
      </c>
      <c r="AI4" s="50">
        <v>2054</v>
      </c>
      <c r="AJ4" s="50">
        <v>2055</v>
      </c>
      <c r="AK4" s="423"/>
    </row>
    <row r="5" spans="1:38">
      <c r="A5" s="270"/>
      <c r="C5" s="382" t="s">
        <v>447</v>
      </c>
      <c r="D5" s="383"/>
      <c r="E5" s="384"/>
      <c r="F5" s="384"/>
      <c r="G5" s="384"/>
      <c r="H5" s="384"/>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424"/>
      <c r="AL5" s="272"/>
    </row>
    <row r="6" spans="1:38">
      <c r="A6" s="270"/>
      <c r="C6" s="382" t="s">
        <v>448</v>
      </c>
      <c r="D6" s="383">
        <f>0*(Pct_JV*2)</f>
        <v>0</v>
      </c>
      <c r="E6" s="384">
        <f>89433536.907*(Pct_JV*2)</f>
        <v>89433536.907000005</v>
      </c>
      <c r="F6" s="384">
        <f>94019872.133*(Pct_JV*2)</f>
        <v>94019872.133000001</v>
      </c>
      <c r="G6" s="384">
        <f>45863352.26*(Pct_JV*2)</f>
        <v>45863352.259999998</v>
      </c>
      <c r="H6" s="384">
        <f>22500000*(Pct_JV*2)</f>
        <v>22500000</v>
      </c>
      <c r="I6" s="384">
        <f>27500000*(Pct_JV*2)</f>
        <v>27500000</v>
      </c>
      <c r="J6" s="384">
        <f t="shared" ref="J6:AJ6" si="0">0*(Pct_JV*2)</f>
        <v>0</v>
      </c>
      <c r="K6" s="384">
        <f t="shared" si="0"/>
        <v>0</v>
      </c>
      <c r="L6" s="384">
        <f t="shared" si="0"/>
        <v>0</v>
      </c>
      <c r="M6" s="384">
        <f t="shared" si="0"/>
        <v>0</v>
      </c>
      <c r="N6" s="384">
        <f t="shared" si="0"/>
        <v>0</v>
      </c>
      <c r="O6" s="384">
        <f t="shared" si="0"/>
        <v>0</v>
      </c>
      <c r="P6" s="384">
        <f t="shared" si="0"/>
        <v>0</v>
      </c>
      <c r="Q6" s="384">
        <f t="shared" si="0"/>
        <v>0</v>
      </c>
      <c r="R6" s="384">
        <f t="shared" si="0"/>
        <v>0</v>
      </c>
      <c r="S6" s="384">
        <f t="shared" si="0"/>
        <v>0</v>
      </c>
      <c r="T6" s="384">
        <f t="shared" si="0"/>
        <v>0</v>
      </c>
      <c r="U6" s="384">
        <f t="shared" si="0"/>
        <v>0</v>
      </c>
      <c r="V6" s="384">
        <f t="shared" si="0"/>
        <v>0</v>
      </c>
      <c r="W6" s="384">
        <f t="shared" si="0"/>
        <v>0</v>
      </c>
      <c r="X6" s="384">
        <f t="shared" si="0"/>
        <v>0</v>
      </c>
      <c r="Y6" s="384">
        <f t="shared" si="0"/>
        <v>0</v>
      </c>
      <c r="Z6" s="384">
        <f t="shared" si="0"/>
        <v>0</v>
      </c>
      <c r="AA6" s="384">
        <f t="shared" si="0"/>
        <v>0</v>
      </c>
      <c r="AB6" s="384">
        <f t="shared" si="0"/>
        <v>0</v>
      </c>
      <c r="AC6" s="384">
        <f t="shared" si="0"/>
        <v>0</v>
      </c>
      <c r="AD6" s="384">
        <f t="shared" si="0"/>
        <v>0</v>
      </c>
      <c r="AE6" s="384">
        <f t="shared" si="0"/>
        <v>0</v>
      </c>
      <c r="AF6" s="384">
        <f t="shared" si="0"/>
        <v>0</v>
      </c>
      <c r="AG6" s="384">
        <f t="shared" si="0"/>
        <v>0</v>
      </c>
      <c r="AH6" s="384">
        <f t="shared" si="0"/>
        <v>0</v>
      </c>
      <c r="AI6" s="384">
        <f t="shared" si="0"/>
        <v>0</v>
      </c>
      <c r="AJ6" s="384">
        <f t="shared" si="0"/>
        <v>0</v>
      </c>
      <c r="AK6" s="424"/>
      <c r="AL6" s="272"/>
    </row>
    <row r="7" spans="1:38">
      <c r="A7" s="270"/>
      <c r="C7" s="382" t="s">
        <v>449</v>
      </c>
      <c r="D7" s="383"/>
      <c r="E7" s="384"/>
      <c r="F7" s="384"/>
      <c r="G7" s="384"/>
      <c r="H7" s="384"/>
      <c r="I7" s="384"/>
      <c r="J7" s="384"/>
      <c r="K7" s="384"/>
      <c r="L7" s="384"/>
      <c r="M7" s="384"/>
      <c r="N7" s="384"/>
      <c r="O7" s="384"/>
      <c r="P7" s="384"/>
      <c r="Q7" s="384"/>
      <c r="R7" s="384"/>
      <c r="S7" s="384"/>
      <c r="T7" s="384"/>
      <c r="U7" s="384"/>
      <c r="V7" s="384"/>
      <c r="W7" s="384"/>
      <c r="X7" s="384"/>
      <c r="Y7" s="384"/>
      <c r="Z7" s="384"/>
      <c r="AA7" s="384"/>
      <c r="AB7" s="384"/>
      <c r="AC7" s="384"/>
      <c r="AD7" s="384"/>
      <c r="AE7" s="384"/>
      <c r="AF7" s="384"/>
      <c r="AG7" s="384"/>
      <c r="AH7" s="384"/>
      <c r="AI7" s="384"/>
      <c r="AJ7" s="384"/>
      <c r="AK7" s="424"/>
      <c r="AL7" s="272"/>
    </row>
    <row r="8" spans="1:38">
      <c r="A8" s="270"/>
      <c r="C8" s="382" t="s">
        <v>450</v>
      </c>
      <c r="D8" s="383"/>
      <c r="E8" s="384"/>
      <c r="F8" s="384"/>
      <c r="G8" s="384"/>
      <c r="H8" s="384"/>
      <c r="I8" s="384"/>
      <c r="J8" s="384"/>
      <c r="K8" s="384"/>
      <c r="L8" s="384"/>
      <c r="M8" s="384"/>
      <c r="N8" s="384"/>
      <c r="O8" s="384"/>
      <c r="P8" s="384"/>
      <c r="Q8" s="384"/>
      <c r="R8" s="384"/>
      <c r="S8" s="384"/>
      <c r="T8" s="384"/>
      <c r="U8" s="384"/>
      <c r="V8" s="384"/>
      <c r="W8" s="384"/>
      <c r="X8" s="384"/>
      <c r="Y8" s="384"/>
      <c r="Z8" s="384"/>
      <c r="AA8" s="384"/>
      <c r="AB8" s="384"/>
      <c r="AC8" s="384"/>
      <c r="AD8" s="384"/>
      <c r="AE8" s="384"/>
      <c r="AF8" s="384"/>
      <c r="AG8" s="384"/>
      <c r="AH8" s="384"/>
      <c r="AI8" s="384"/>
      <c r="AJ8" s="384"/>
      <c r="AK8" s="424"/>
      <c r="AL8" s="272"/>
    </row>
    <row r="9" spans="1:38">
      <c r="A9" s="270"/>
      <c r="C9" s="382" t="s">
        <v>451</v>
      </c>
      <c r="D9" s="383"/>
      <c r="E9" s="384"/>
      <c r="F9" s="384"/>
      <c r="G9" s="384"/>
      <c r="H9" s="384"/>
      <c r="I9" s="384"/>
      <c r="J9" s="384"/>
      <c r="K9" s="384"/>
      <c r="L9" s="384"/>
      <c r="M9" s="384"/>
      <c r="N9" s="384"/>
      <c r="O9" s="384"/>
      <c r="P9" s="384"/>
      <c r="Q9" s="384"/>
      <c r="R9" s="384"/>
      <c r="S9" s="384"/>
      <c r="T9" s="384"/>
      <c r="U9" s="384"/>
      <c r="V9" s="384"/>
      <c r="W9" s="384"/>
      <c r="X9" s="384"/>
      <c r="Y9" s="384"/>
      <c r="Z9" s="384"/>
      <c r="AA9" s="384"/>
      <c r="AB9" s="384"/>
      <c r="AC9" s="384"/>
      <c r="AD9" s="384"/>
      <c r="AE9" s="384"/>
      <c r="AF9" s="384"/>
      <c r="AG9" s="384"/>
      <c r="AH9" s="384"/>
      <c r="AI9" s="384"/>
      <c r="AJ9" s="384"/>
      <c r="AK9" s="424"/>
      <c r="AL9" s="272"/>
    </row>
    <row r="10" spans="1:38">
      <c r="A10" s="270"/>
      <c r="C10" s="382" t="s">
        <v>452</v>
      </c>
      <c r="D10" s="383"/>
      <c r="E10" s="384"/>
      <c r="F10" s="384"/>
      <c r="G10" s="384"/>
      <c r="H10" s="384"/>
      <c r="I10" s="384"/>
      <c r="J10" s="384"/>
      <c r="K10" s="384"/>
      <c r="L10" s="384"/>
      <c r="M10" s="384"/>
      <c r="N10" s="384"/>
      <c r="O10" s="384"/>
      <c r="P10" s="384"/>
      <c r="Q10" s="384"/>
      <c r="R10" s="384"/>
      <c r="S10" s="384"/>
      <c r="T10" s="384"/>
      <c r="U10" s="384"/>
      <c r="V10" s="384"/>
      <c r="W10" s="384"/>
      <c r="X10" s="384"/>
      <c r="Y10" s="384"/>
      <c r="Z10" s="384"/>
      <c r="AA10" s="384"/>
      <c r="AB10" s="384"/>
      <c r="AC10" s="384"/>
      <c r="AD10" s="384"/>
      <c r="AE10" s="384"/>
      <c r="AF10" s="384"/>
      <c r="AG10" s="384"/>
      <c r="AH10" s="384"/>
      <c r="AI10" s="384"/>
      <c r="AJ10" s="384"/>
      <c r="AK10" s="424"/>
      <c r="AL10" s="272"/>
    </row>
    <row r="11" spans="1:38">
      <c r="A11" s="270"/>
      <c r="C11" s="382" t="s">
        <v>453</v>
      </c>
      <c r="D11" s="383"/>
      <c r="E11" s="384"/>
      <c r="F11" s="384"/>
      <c r="G11" s="384"/>
      <c r="H11" s="384"/>
      <c r="I11" s="384"/>
      <c r="J11" s="384"/>
      <c r="K11" s="384"/>
      <c r="L11" s="384"/>
      <c r="M11" s="384"/>
      <c r="N11" s="384"/>
      <c r="O11" s="384"/>
      <c r="P11" s="384"/>
      <c r="Q11" s="384"/>
      <c r="R11" s="384"/>
      <c r="S11" s="384"/>
      <c r="T11" s="384"/>
      <c r="U11" s="384"/>
      <c r="V11" s="384"/>
      <c r="W11" s="384"/>
      <c r="X11" s="384"/>
      <c r="Y11" s="384"/>
      <c r="Z11" s="384"/>
      <c r="AA11" s="384"/>
      <c r="AB11" s="384"/>
      <c r="AC11" s="384"/>
      <c r="AD11" s="384"/>
      <c r="AE11" s="384"/>
      <c r="AF11" s="384"/>
      <c r="AG11" s="384"/>
      <c r="AH11" s="384"/>
      <c r="AI11" s="384"/>
      <c r="AJ11" s="384"/>
      <c r="AK11" s="424"/>
      <c r="AL11" s="272"/>
    </row>
    <row r="12" spans="1:38">
      <c r="A12" s="270"/>
      <c r="C12" s="382" t="s">
        <v>454</v>
      </c>
      <c r="D12" s="383"/>
      <c r="E12" s="384"/>
      <c r="F12" s="384"/>
      <c r="G12" s="384"/>
      <c r="H12" s="384"/>
      <c r="I12" s="384"/>
      <c r="J12" s="384"/>
      <c r="K12" s="384"/>
      <c r="L12" s="384"/>
      <c r="M12" s="384"/>
      <c r="N12" s="384"/>
      <c r="O12" s="384"/>
      <c r="P12" s="384"/>
      <c r="Q12" s="384"/>
      <c r="R12" s="384"/>
      <c r="S12" s="384"/>
      <c r="T12" s="384"/>
      <c r="U12" s="384"/>
      <c r="V12" s="384"/>
      <c r="W12" s="384"/>
      <c r="X12" s="384"/>
      <c r="Y12" s="384"/>
      <c r="Z12" s="384"/>
      <c r="AA12" s="384"/>
      <c r="AB12" s="384"/>
      <c r="AC12" s="384"/>
      <c r="AD12" s="384"/>
      <c r="AE12" s="384"/>
      <c r="AF12" s="384"/>
      <c r="AG12" s="384"/>
      <c r="AH12" s="384"/>
      <c r="AI12" s="384"/>
      <c r="AJ12" s="384"/>
      <c r="AK12" s="424"/>
      <c r="AL12" s="272"/>
    </row>
    <row r="13" spans="1:38">
      <c r="A13" s="270"/>
      <c r="C13" s="382"/>
      <c r="D13" s="383"/>
      <c r="E13" s="384"/>
      <c r="F13" s="384"/>
      <c r="G13" s="384"/>
      <c r="H13" s="384"/>
      <c r="I13" s="384"/>
      <c r="J13" s="384"/>
      <c r="K13" s="384"/>
      <c r="L13" s="384"/>
      <c r="M13" s="384"/>
      <c r="N13" s="384"/>
      <c r="O13" s="384"/>
      <c r="P13" s="384"/>
      <c r="Q13" s="384"/>
      <c r="R13" s="384"/>
      <c r="S13" s="384"/>
      <c r="T13" s="384"/>
      <c r="U13" s="384"/>
      <c r="V13" s="384"/>
      <c r="W13" s="384"/>
      <c r="X13" s="384"/>
      <c r="Y13" s="384"/>
      <c r="Z13" s="384"/>
      <c r="AA13" s="384"/>
      <c r="AB13" s="384"/>
      <c r="AC13" s="384"/>
      <c r="AD13" s="384"/>
      <c r="AE13" s="384"/>
      <c r="AF13" s="384"/>
      <c r="AG13" s="384"/>
      <c r="AH13" s="384"/>
      <c r="AI13" s="384"/>
      <c r="AJ13" s="384"/>
      <c r="AK13" s="424"/>
      <c r="AL13" s="272"/>
    </row>
    <row r="14" spans="1:38">
      <c r="A14" s="270"/>
      <c r="C14" s="382"/>
      <c r="D14" s="383"/>
      <c r="E14" s="384"/>
      <c r="F14" s="384"/>
      <c r="G14" s="384"/>
      <c r="H14" s="384"/>
      <c r="I14" s="384"/>
      <c r="J14" s="384"/>
      <c r="K14" s="384"/>
      <c r="L14" s="384"/>
      <c r="M14" s="384"/>
      <c r="N14" s="384"/>
      <c r="O14" s="384"/>
      <c r="P14" s="384"/>
      <c r="Q14" s="384"/>
      <c r="R14" s="384"/>
      <c r="S14" s="384"/>
      <c r="T14" s="384"/>
      <c r="U14" s="384"/>
      <c r="V14" s="384"/>
      <c r="W14" s="384"/>
      <c r="X14" s="384"/>
      <c r="Y14" s="384"/>
      <c r="Z14" s="384"/>
      <c r="AA14" s="384"/>
      <c r="AB14" s="384"/>
      <c r="AC14" s="384"/>
      <c r="AD14" s="384"/>
      <c r="AE14" s="384"/>
      <c r="AF14" s="384"/>
      <c r="AG14" s="384"/>
      <c r="AH14" s="384"/>
      <c r="AI14" s="384"/>
      <c r="AJ14" s="384"/>
      <c r="AK14" s="424"/>
      <c r="AL14" s="272"/>
    </row>
    <row r="15" spans="1:38">
      <c r="A15" s="270"/>
      <c r="C15" s="382"/>
      <c r="D15" s="383"/>
      <c r="E15" s="384"/>
      <c r="F15" s="384"/>
      <c r="G15" s="384"/>
      <c r="H15" s="384"/>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424"/>
      <c r="AL15" s="272"/>
    </row>
    <row r="16" spans="1:38">
      <c r="A16" s="270"/>
      <c r="C16" s="382"/>
      <c r="D16" s="383"/>
      <c r="E16" s="384"/>
      <c r="F16" s="384"/>
      <c r="G16" s="384"/>
      <c r="H16" s="384"/>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424"/>
      <c r="AL16" s="272"/>
    </row>
    <row r="17" spans="1:40" ht="16.5" thickBot="1">
      <c r="A17" s="270"/>
      <c r="C17" s="385" t="s">
        <v>455</v>
      </c>
      <c r="D17" s="273">
        <v>0</v>
      </c>
      <c r="E17" s="274">
        <v>89433536.907000005</v>
      </c>
      <c r="F17" s="274">
        <v>94019872.133000001</v>
      </c>
      <c r="G17" s="274">
        <v>45863352.25999999</v>
      </c>
      <c r="H17" s="274">
        <v>22500000</v>
      </c>
      <c r="I17" s="274">
        <v>27500000</v>
      </c>
      <c r="J17" s="274">
        <v>0</v>
      </c>
      <c r="K17" s="274">
        <v>0</v>
      </c>
      <c r="L17" s="274">
        <v>0</v>
      </c>
      <c r="M17" s="274">
        <v>0</v>
      </c>
      <c r="N17" s="274">
        <v>0</v>
      </c>
      <c r="O17" s="274">
        <v>0</v>
      </c>
      <c r="P17" s="274">
        <v>0</v>
      </c>
      <c r="Q17" s="274">
        <v>0</v>
      </c>
      <c r="R17" s="274">
        <v>0</v>
      </c>
      <c r="S17" s="274">
        <v>0</v>
      </c>
      <c r="T17" s="274">
        <v>0</v>
      </c>
      <c r="U17" s="274">
        <v>0</v>
      </c>
      <c r="V17" s="274">
        <v>0</v>
      </c>
      <c r="W17" s="274">
        <v>0</v>
      </c>
      <c r="X17" s="274">
        <v>0</v>
      </c>
      <c r="Y17" s="274">
        <v>0</v>
      </c>
      <c r="Z17" s="274">
        <v>0</v>
      </c>
      <c r="AA17" s="274">
        <v>0</v>
      </c>
      <c r="AB17" s="274">
        <v>0</v>
      </c>
      <c r="AC17" s="274">
        <v>0</v>
      </c>
      <c r="AD17" s="274">
        <v>0</v>
      </c>
      <c r="AE17" s="274">
        <v>0</v>
      </c>
      <c r="AF17" s="274">
        <v>0</v>
      </c>
      <c r="AG17" s="274">
        <v>0</v>
      </c>
      <c r="AH17" s="274">
        <v>0</v>
      </c>
      <c r="AI17" s="274">
        <v>0</v>
      </c>
      <c r="AJ17" s="274">
        <v>0</v>
      </c>
      <c r="AK17" s="275"/>
    </row>
    <row r="18" spans="1:40" ht="3.75" customHeight="1">
      <c r="A18" s="270"/>
      <c r="C18" s="386"/>
      <c r="D18" s="387"/>
      <c r="E18" s="387"/>
      <c r="F18" s="387"/>
      <c r="G18" s="387"/>
      <c r="H18" s="387"/>
      <c r="I18" s="387"/>
      <c r="J18" s="387"/>
      <c r="K18" s="387"/>
      <c r="L18" s="387"/>
      <c r="M18" s="387"/>
      <c r="N18" s="387"/>
      <c r="O18" s="387"/>
      <c r="P18" s="387"/>
      <c r="Q18" s="387"/>
      <c r="R18" s="387"/>
      <c r="S18" s="387"/>
      <c r="T18" s="387"/>
      <c r="U18" s="387"/>
      <c r="V18" s="387"/>
      <c r="W18" s="387"/>
      <c r="X18" s="387"/>
      <c r="Y18" s="387"/>
      <c r="Z18" s="387"/>
      <c r="AA18" s="387"/>
      <c r="AB18" s="387"/>
      <c r="AC18" s="387"/>
      <c r="AD18" s="387"/>
      <c r="AE18" s="387"/>
      <c r="AF18" s="387"/>
      <c r="AG18" s="387"/>
      <c r="AH18" s="387"/>
      <c r="AI18" s="387"/>
      <c r="AJ18" s="387"/>
      <c r="AK18" s="425"/>
      <c r="AN18" s="426"/>
    </row>
    <row r="19" spans="1:40">
      <c r="A19" s="270"/>
      <c r="C19" s="382" t="s">
        <v>491</v>
      </c>
      <c r="D19" s="388"/>
      <c r="E19" s="389"/>
      <c r="F19" s="389"/>
      <c r="G19" s="389"/>
      <c r="H19" s="389"/>
      <c r="I19" s="389"/>
      <c r="J19" s="389"/>
      <c r="K19" s="389"/>
      <c r="L19" s="389"/>
      <c r="M19" s="389"/>
      <c r="N19" s="389"/>
      <c r="O19" s="389"/>
      <c r="P19" s="389"/>
      <c r="Q19" s="389"/>
      <c r="R19" s="389"/>
      <c r="S19" s="389"/>
      <c r="T19" s="389"/>
      <c r="U19" s="389"/>
      <c r="V19" s="389"/>
      <c r="W19" s="389"/>
      <c r="X19" s="389"/>
      <c r="Y19" s="389"/>
      <c r="Z19" s="389"/>
      <c r="AA19" s="389"/>
      <c r="AB19" s="389"/>
      <c r="AC19" s="389"/>
      <c r="AD19" s="389"/>
      <c r="AE19" s="389"/>
      <c r="AF19" s="389"/>
      <c r="AG19" s="389"/>
      <c r="AH19" s="389"/>
      <c r="AI19" s="389"/>
      <c r="AJ19" s="389"/>
      <c r="AK19" s="425"/>
      <c r="AN19" s="426"/>
    </row>
    <row r="20" spans="1:40">
      <c r="A20" s="270"/>
      <c r="C20" s="382" t="s">
        <v>492</v>
      </c>
      <c r="D20" s="388"/>
      <c r="E20" s="389"/>
      <c r="F20" s="389"/>
      <c r="G20" s="389"/>
      <c r="H20" s="389"/>
      <c r="I20" s="389"/>
      <c r="J20" s="389"/>
      <c r="K20" s="389"/>
      <c r="L20" s="389"/>
      <c r="M20" s="389"/>
      <c r="N20" s="389"/>
      <c r="O20" s="389"/>
      <c r="P20" s="389"/>
      <c r="Q20" s="389"/>
      <c r="R20" s="389"/>
      <c r="S20" s="389"/>
      <c r="T20" s="389"/>
      <c r="U20" s="389"/>
      <c r="V20" s="389"/>
      <c r="W20" s="389"/>
      <c r="X20" s="389"/>
      <c r="Y20" s="389"/>
      <c r="Z20" s="389"/>
      <c r="AA20" s="389"/>
      <c r="AB20" s="389"/>
      <c r="AC20" s="389"/>
      <c r="AD20" s="389"/>
      <c r="AE20" s="389"/>
      <c r="AF20" s="389"/>
      <c r="AG20" s="389"/>
      <c r="AH20" s="389"/>
      <c r="AI20" s="389"/>
      <c r="AJ20" s="389"/>
      <c r="AK20" s="425"/>
      <c r="AN20" s="426"/>
    </row>
    <row r="21" spans="1:40">
      <c r="A21" s="270"/>
      <c r="C21" s="382" t="s">
        <v>493</v>
      </c>
      <c r="D21" s="388"/>
      <c r="E21" s="389"/>
      <c r="F21" s="389"/>
      <c r="G21" s="389"/>
      <c r="H21" s="389"/>
      <c r="I21" s="389"/>
      <c r="J21" s="389"/>
      <c r="K21" s="389"/>
      <c r="L21" s="389"/>
      <c r="M21" s="389"/>
      <c r="N21" s="389"/>
      <c r="O21" s="389"/>
      <c r="P21" s="389"/>
      <c r="Q21" s="389"/>
      <c r="R21" s="389"/>
      <c r="S21" s="389"/>
      <c r="T21" s="389"/>
      <c r="U21" s="389"/>
      <c r="V21" s="389"/>
      <c r="W21" s="389"/>
      <c r="X21" s="389"/>
      <c r="Y21" s="389"/>
      <c r="Z21" s="389"/>
      <c r="AA21" s="389"/>
      <c r="AB21" s="389"/>
      <c r="AC21" s="389"/>
      <c r="AD21" s="389"/>
      <c r="AE21" s="389"/>
      <c r="AF21" s="389"/>
      <c r="AG21" s="389"/>
      <c r="AH21" s="389"/>
      <c r="AI21" s="389"/>
      <c r="AJ21" s="389"/>
      <c r="AK21" s="425"/>
      <c r="AN21" s="426"/>
    </row>
    <row r="22" spans="1:40">
      <c r="A22" s="270"/>
      <c r="C22" s="382" t="s">
        <v>494</v>
      </c>
      <c r="D22" s="388"/>
      <c r="E22" s="389"/>
      <c r="F22" s="389"/>
      <c r="G22" s="389"/>
      <c r="H22" s="389"/>
      <c r="I22" s="389"/>
      <c r="J22" s="389"/>
      <c r="K22" s="389"/>
      <c r="L22" s="389"/>
      <c r="M22" s="389"/>
      <c r="N22" s="389"/>
      <c r="O22" s="389"/>
      <c r="P22" s="389"/>
      <c r="Q22" s="389"/>
      <c r="R22" s="389"/>
      <c r="S22" s="389"/>
      <c r="T22" s="389"/>
      <c r="U22" s="389"/>
      <c r="V22" s="389"/>
      <c r="W22" s="389"/>
      <c r="X22" s="389"/>
      <c r="Y22" s="389"/>
      <c r="Z22" s="389"/>
      <c r="AA22" s="389"/>
      <c r="AB22" s="389"/>
      <c r="AC22" s="389"/>
      <c r="AD22" s="389"/>
      <c r="AE22" s="389"/>
      <c r="AF22" s="389"/>
      <c r="AG22" s="389"/>
      <c r="AH22" s="389"/>
      <c r="AI22" s="389"/>
      <c r="AJ22" s="389"/>
      <c r="AK22" s="425"/>
      <c r="AN22" s="426"/>
    </row>
    <row r="23" spans="1:40">
      <c r="A23" s="270"/>
      <c r="C23" s="382" t="s">
        <v>495</v>
      </c>
      <c r="D23" s="388"/>
      <c r="E23" s="389"/>
      <c r="F23" s="389"/>
      <c r="G23" s="389"/>
      <c r="H23" s="389"/>
      <c r="I23" s="389"/>
      <c r="J23" s="389"/>
      <c r="K23" s="389"/>
      <c r="L23" s="389"/>
      <c r="M23" s="389"/>
      <c r="N23" s="389"/>
      <c r="O23" s="389"/>
      <c r="P23" s="389"/>
      <c r="Q23" s="389"/>
      <c r="R23" s="389"/>
      <c r="S23" s="389"/>
      <c r="T23" s="389"/>
      <c r="U23" s="389"/>
      <c r="V23" s="389"/>
      <c r="W23" s="389"/>
      <c r="X23" s="389"/>
      <c r="Y23" s="389"/>
      <c r="Z23" s="389"/>
      <c r="AA23" s="389"/>
      <c r="AB23" s="389"/>
      <c r="AC23" s="389"/>
      <c r="AD23" s="389"/>
      <c r="AE23" s="389"/>
      <c r="AF23" s="389"/>
      <c r="AG23" s="389"/>
      <c r="AH23" s="389"/>
      <c r="AI23" s="389"/>
      <c r="AJ23" s="389"/>
      <c r="AK23" s="425"/>
      <c r="AN23" s="426"/>
    </row>
    <row r="24" spans="1:40">
      <c r="A24" s="270"/>
      <c r="C24" s="382" t="s">
        <v>496</v>
      </c>
      <c r="D24" s="388"/>
      <c r="E24" s="389"/>
      <c r="F24" s="389"/>
      <c r="G24" s="389"/>
      <c r="H24" s="389"/>
      <c r="I24" s="389"/>
      <c r="J24" s="389"/>
      <c r="K24" s="389"/>
      <c r="L24" s="389"/>
      <c r="M24" s="389"/>
      <c r="N24" s="389"/>
      <c r="O24" s="389"/>
      <c r="P24" s="389"/>
      <c r="Q24" s="389"/>
      <c r="R24" s="389"/>
      <c r="S24" s="389"/>
      <c r="T24" s="389"/>
      <c r="U24" s="389"/>
      <c r="V24" s="389"/>
      <c r="W24" s="389"/>
      <c r="X24" s="389"/>
      <c r="Y24" s="389"/>
      <c r="Z24" s="389"/>
      <c r="AA24" s="389"/>
      <c r="AB24" s="389"/>
      <c r="AC24" s="389"/>
      <c r="AD24" s="389"/>
      <c r="AE24" s="389"/>
      <c r="AF24" s="389"/>
      <c r="AG24" s="389"/>
      <c r="AH24" s="389"/>
      <c r="AI24" s="389"/>
      <c r="AJ24" s="389"/>
      <c r="AK24" s="425"/>
      <c r="AN24" s="426"/>
    </row>
    <row r="25" spans="1:40">
      <c r="A25" s="270"/>
      <c r="C25" s="382" t="s">
        <v>497</v>
      </c>
      <c r="D25" s="388"/>
      <c r="E25" s="389"/>
      <c r="F25" s="389"/>
      <c r="G25" s="389"/>
      <c r="H25" s="389"/>
      <c r="I25" s="389"/>
      <c r="J25" s="389"/>
      <c r="K25" s="389"/>
      <c r="L25" s="389"/>
      <c r="M25" s="389"/>
      <c r="N25" s="389"/>
      <c r="O25" s="389"/>
      <c r="P25" s="389"/>
      <c r="Q25" s="389"/>
      <c r="R25" s="389"/>
      <c r="S25" s="389"/>
      <c r="T25" s="389"/>
      <c r="U25" s="389"/>
      <c r="V25" s="389"/>
      <c r="W25" s="389"/>
      <c r="X25" s="389"/>
      <c r="Y25" s="389"/>
      <c r="Z25" s="389"/>
      <c r="AA25" s="389"/>
      <c r="AB25" s="389"/>
      <c r="AC25" s="389"/>
      <c r="AD25" s="389"/>
      <c r="AE25" s="389"/>
      <c r="AF25" s="389"/>
      <c r="AG25" s="389"/>
      <c r="AH25" s="389"/>
      <c r="AI25" s="389"/>
      <c r="AJ25" s="389"/>
      <c r="AK25" s="425"/>
      <c r="AN25" s="426"/>
    </row>
    <row r="26" spans="1:40">
      <c r="A26" s="270"/>
      <c r="C26" s="382"/>
      <c r="D26" s="383"/>
      <c r="E26" s="384"/>
      <c r="F26" s="384"/>
      <c r="G26" s="384"/>
      <c r="H26" s="384"/>
      <c r="I26" s="384"/>
      <c r="J26" s="384"/>
      <c r="K26" s="384"/>
      <c r="L26" s="384"/>
      <c r="M26" s="384"/>
      <c r="N26" s="384"/>
      <c r="O26" s="384"/>
      <c r="P26" s="384"/>
      <c r="Q26" s="384"/>
      <c r="R26" s="384"/>
      <c r="S26" s="384"/>
      <c r="T26" s="384"/>
      <c r="U26" s="384"/>
      <c r="V26" s="384"/>
      <c r="W26" s="384"/>
      <c r="X26" s="384"/>
      <c r="Y26" s="384"/>
      <c r="Z26" s="384"/>
      <c r="AA26" s="384"/>
      <c r="AB26" s="384"/>
      <c r="AC26" s="384"/>
      <c r="AD26" s="384"/>
      <c r="AE26" s="384"/>
      <c r="AF26" s="384"/>
      <c r="AG26" s="384"/>
      <c r="AH26" s="384"/>
      <c r="AI26" s="384"/>
      <c r="AJ26" s="384"/>
      <c r="AK26" s="424"/>
      <c r="AL26" s="272"/>
    </row>
    <row r="27" spans="1:40">
      <c r="A27" s="270"/>
      <c r="C27" s="382"/>
      <c r="D27" s="383"/>
      <c r="E27" s="384"/>
      <c r="F27" s="384"/>
      <c r="G27" s="384"/>
      <c r="H27" s="384"/>
      <c r="I27" s="384"/>
      <c r="J27" s="384"/>
      <c r="K27" s="384"/>
      <c r="L27" s="384"/>
      <c r="M27" s="384"/>
      <c r="N27" s="384"/>
      <c r="O27" s="384"/>
      <c r="P27" s="384"/>
      <c r="Q27" s="384"/>
      <c r="R27" s="384"/>
      <c r="S27" s="384"/>
      <c r="T27" s="384"/>
      <c r="U27" s="384"/>
      <c r="V27" s="384"/>
      <c r="W27" s="384"/>
      <c r="X27" s="384"/>
      <c r="Y27" s="384"/>
      <c r="Z27" s="384"/>
      <c r="AA27" s="384"/>
      <c r="AB27" s="384"/>
      <c r="AC27" s="384"/>
      <c r="AD27" s="384"/>
      <c r="AE27" s="384"/>
      <c r="AF27" s="384"/>
      <c r="AG27" s="384"/>
      <c r="AH27" s="384"/>
      <c r="AI27" s="384"/>
      <c r="AJ27" s="384"/>
      <c r="AK27" s="424"/>
      <c r="AL27" s="272"/>
    </row>
    <row r="28" spans="1:40" ht="16.5" thickBot="1">
      <c r="A28" s="270"/>
      <c r="C28" s="385" t="s">
        <v>498</v>
      </c>
      <c r="D28" s="273">
        <v>0</v>
      </c>
      <c r="E28" s="274">
        <v>0</v>
      </c>
      <c r="F28" s="274">
        <v>0</v>
      </c>
      <c r="G28" s="274">
        <v>0</v>
      </c>
      <c r="H28" s="274">
        <v>0</v>
      </c>
      <c r="I28" s="274">
        <v>0</v>
      </c>
      <c r="J28" s="274">
        <v>0</v>
      </c>
      <c r="K28" s="274">
        <v>0</v>
      </c>
      <c r="L28" s="274">
        <v>0</v>
      </c>
      <c r="M28" s="274">
        <v>0</v>
      </c>
      <c r="N28" s="274">
        <v>0</v>
      </c>
      <c r="O28" s="274">
        <v>0</v>
      </c>
      <c r="P28" s="274">
        <v>0</v>
      </c>
      <c r="Q28" s="274">
        <v>0</v>
      </c>
      <c r="R28" s="274">
        <v>0</v>
      </c>
      <c r="S28" s="274">
        <v>0</v>
      </c>
      <c r="T28" s="274">
        <v>0</v>
      </c>
      <c r="U28" s="274">
        <v>0</v>
      </c>
      <c r="V28" s="274">
        <v>0</v>
      </c>
      <c r="W28" s="274">
        <v>0</v>
      </c>
      <c r="X28" s="274">
        <v>0</v>
      </c>
      <c r="Y28" s="274">
        <v>0</v>
      </c>
      <c r="Z28" s="274">
        <v>0</v>
      </c>
      <c r="AA28" s="274">
        <v>0</v>
      </c>
      <c r="AB28" s="274">
        <v>0</v>
      </c>
      <c r="AC28" s="274">
        <v>0</v>
      </c>
      <c r="AD28" s="274">
        <v>0</v>
      </c>
      <c r="AE28" s="274">
        <v>0</v>
      </c>
      <c r="AF28" s="274">
        <v>0</v>
      </c>
      <c r="AG28" s="274">
        <v>0</v>
      </c>
      <c r="AH28" s="274">
        <v>0</v>
      </c>
      <c r="AI28" s="274">
        <v>0</v>
      </c>
      <c r="AJ28" s="274">
        <v>0</v>
      </c>
      <c r="AK28" s="275"/>
    </row>
    <row r="29" spans="1:40" ht="3.75" customHeight="1">
      <c r="A29" s="270"/>
      <c r="C29" s="386"/>
      <c r="D29" s="390"/>
      <c r="E29" s="390"/>
      <c r="F29" s="390"/>
      <c r="G29" s="390"/>
      <c r="H29" s="390"/>
      <c r="I29" s="390"/>
      <c r="J29" s="390"/>
      <c r="K29" s="390"/>
      <c r="L29" s="390"/>
      <c r="M29" s="390"/>
      <c r="N29" s="390"/>
      <c r="O29" s="390"/>
      <c r="P29" s="390"/>
      <c r="Q29" s="390"/>
      <c r="R29" s="390"/>
      <c r="S29" s="390"/>
      <c r="T29" s="390"/>
      <c r="U29" s="390"/>
      <c r="V29" s="390"/>
      <c r="W29" s="390"/>
      <c r="X29" s="390"/>
      <c r="Y29" s="390"/>
      <c r="Z29" s="390"/>
      <c r="AA29" s="390"/>
      <c r="AB29" s="390"/>
      <c r="AC29" s="390"/>
      <c r="AD29" s="390"/>
      <c r="AE29" s="390"/>
      <c r="AF29" s="390"/>
      <c r="AG29" s="390"/>
      <c r="AH29" s="390"/>
      <c r="AI29" s="390"/>
      <c r="AJ29" s="390"/>
      <c r="AK29" s="424"/>
      <c r="AL29" s="272"/>
    </row>
    <row r="30" spans="1:40">
      <c r="A30" s="270"/>
      <c r="C30" s="382" t="s">
        <v>515</v>
      </c>
      <c r="D30" s="388"/>
      <c r="E30" s="389"/>
      <c r="F30" s="389"/>
      <c r="G30" s="389"/>
      <c r="H30" s="389"/>
      <c r="I30" s="389"/>
      <c r="J30" s="389"/>
      <c r="K30" s="389"/>
      <c r="L30" s="389"/>
      <c r="M30" s="389"/>
      <c r="N30" s="389"/>
      <c r="O30" s="389"/>
      <c r="P30" s="389"/>
      <c r="Q30" s="389"/>
      <c r="R30" s="389"/>
      <c r="S30" s="389"/>
      <c r="T30" s="389"/>
      <c r="U30" s="389"/>
      <c r="V30" s="389"/>
      <c r="W30" s="389"/>
      <c r="X30" s="389"/>
      <c r="Y30" s="389"/>
      <c r="Z30" s="389"/>
      <c r="AA30" s="389"/>
      <c r="AB30" s="389"/>
      <c r="AC30" s="389"/>
      <c r="AD30" s="389"/>
      <c r="AE30" s="389"/>
      <c r="AF30" s="389"/>
      <c r="AG30" s="389"/>
      <c r="AH30" s="389"/>
      <c r="AI30" s="389"/>
      <c r="AJ30" s="389"/>
      <c r="AK30" s="425"/>
      <c r="AN30" s="426"/>
    </row>
    <row r="31" spans="1:40">
      <c r="A31" s="270"/>
      <c r="C31" s="382" t="s">
        <v>516</v>
      </c>
      <c r="D31" s="388"/>
      <c r="E31" s="389"/>
      <c r="F31" s="389"/>
      <c r="G31" s="389"/>
      <c r="H31" s="389"/>
      <c r="I31" s="389"/>
      <c r="J31" s="389"/>
      <c r="K31" s="389"/>
      <c r="L31" s="389"/>
      <c r="M31" s="389"/>
      <c r="N31" s="389"/>
      <c r="O31" s="389"/>
      <c r="P31" s="389"/>
      <c r="Q31" s="389"/>
      <c r="R31" s="389"/>
      <c r="S31" s="389"/>
      <c r="T31" s="389"/>
      <c r="U31" s="389"/>
      <c r="V31" s="389"/>
      <c r="W31" s="389"/>
      <c r="X31" s="389"/>
      <c r="Y31" s="389"/>
      <c r="Z31" s="389"/>
      <c r="AA31" s="389"/>
      <c r="AB31" s="389"/>
      <c r="AC31" s="389"/>
      <c r="AD31" s="389"/>
      <c r="AE31" s="389"/>
      <c r="AF31" s="389"/>
      <c r="AG31" s="389"/>
      <c r="AH31" s="389"/>
      <c r="AI31" s="389"/>
      <c r="AJ31" s="389"/>
      <c r="AK31" s="425"/>
      <c r="AN31" s="426"/>
    </row>
    <row r="32" spans="1:40">
      <c r="A32" s="270"/>
      <c r="C32" s="382" t="s">
        <v>456</v>
      </c>
      <c r="D32" s="388"/>
      <c r="E32" s="389"/>
      <c r="F32" s="389"/>
      <c r="G32" s="389"/>
      <c r="H32" s="389"/>
      <c r="I32" s="389"/>
      <c r="J32" s="389"/>
      <c r="K32" s="389"/>
      <c r="L32" s="389"/>
      <c r="M32" s="389"/>
      <c r="N32" s="389"/>
      <c r="O32" s="389"/>
      <c r="P32" s="389"/>
      <c r="Q32" s="389"/>
      <c r="R32" s="389"/>
      <c r="S32" s="389"/>
      <c r="T32" s="389"/>
      <c r="U32" s="389"/>
      <c r="V32" s="389"/>
      <c r="W32" s="389"/>
      <c r="X32" s="389"/>
      <c r="Y32" s="389"/>
      <c r="Z32" s="389"/>
      <c r="AA32" s="389"/>
      <c r="AB32" s="389"/>
      <c r="AC32" s="389"/>
      <c r="AD32" s="389"/>
      <c r="AE32" s="389"/>
      <c r="AF32" s="389"/>
      <c r="AG32" s="389"/>
      <c r="AH32" s="389"/>
      <c r="AI32" s="389"/>
      <c r="AJ32" s="389"/>
      <c r="AK32" s="425"/>
      <c r="AN32" s="426"/>
    </row>
    <row r="33" spans="1:40">
      <c r="A33" s="270"/>
      <c r="C33" s="382" t="s">
        <v>457</v>
      </c>
      <c r="D33" s="388"/>
      <c r="E33" s="389"/>
      <c r="F33" s="389"/>
      <c r="G33" s="389"/>
      <c r="H33" s="389"/>
      <c r="I33" s="389"/>
      <c r="J33" s="389"/>
      <c r="K33" s="389"/>
      <c r="L33" s="389"/>
      <c r="M33" s="389"/>
      <c r="N33" s="389"/>
      <c r="O33" s="389"/>
      <c r="P33" s="389"/>
      <c r="Q33" s="389"/>
      <c r="R33" s="389"/>
      <c r="S33" s="389"/>
      <c r="T33" s="389"/>
      <c r="U33" s="389"/>
      <c r="V33" s="389"/>
      <c r="W33" s="389"/>
      <c r="X33" s="389"/>
      <c r="Y33" s="389"/>
      <c r="Z33" s="389"/>
      <c r="AA33" s="389"/>
      <c r="AB33" s="389"/>
      <c r="AC33" s="389"/>
      <c r="AD33" s="389"/>
      <c r="AE33" s="389"/>
      <c r="AF33" s="389"/>
      <c r="AG33" s="389"/>
      <c r="AH33" s="389"/>
      <c r="AI33" s="389"/>
      <c r="AJ33" s="389"/>
      <c r="AK33" s="425"/>
      <c r="AN33" s="426"/>
    </row>
    <row r="34" spans="1:40">
      <c r="A34" s="270"/>
      <c r="C34" s="382" t="s">
        <v>458</v>
      </c>
      <c r="D34" s="388"/>
      <c r="E34" s="389"/>
      <c r="F34" s="389"/>
      <c r="G34" s="389"/>
      <c r="H34" s="389"/>
      <c r="I34" s="389"/>
      <c r="J34" s="389"/>
      <c r="K34" s="389"/>
      <c r="L34" s="389"/>
      <c r="M34" s="389"/>
      <c r="N34" s="389"/>
      <c r="O34" s="389"/>
      <c r="P34" s="389"/>
      <c r="Q34" s="389"/>
      <c r="R34" s="389"/>
      <c r="S34" s="389"/>
      <c r="T34" s="389"/>
      <c r="U34" s="389"/>
      <c r="V34" s="389"/>
      <c r="W34" s="389"/>
      <c r="X34" s="389"/>
      <c r="Y34" s="389"/>
      <c r="Z34" s="389"/>
      <c r="AA34" s="389"/>
      <c r="AB34" s="389"/>
      <c r="AC34" s="389"/>
      <c r="AD34" s="389"/>
      <c r="AE34" s="389"/>
      <c r="AF34" s="389"/>
      <c r="AG34" s="389"/>
      <c r="AH34" s="389"/>
      <c r="AI34" s="389"/>
      <c r="AJ34" s="389"/>
      <c r="AK34" s="425"/>
      <c r="AN34" s="426"/>
    </row>
    <row r="35" spans="1:40">
      <c r="A35" s="270"/>
      <c r="C35" s="382" t="s">
        <v>459</v>
      </c>
      <c r="D35" s="388"/>
      <c r="E35" s="389"/>
      <c r="F35" s="389"/>
      <c r="G35" s="389"/>
      <c r="H35" s="389"/>
      <c r="I35" s="389"/>
      <c r="J35" s="389"/>
      <c r="K35" s="389"/>
      <c r="L35" s="389"/>
      <c r="M35" s="389"/>
      <c r="N35" s="389"/>
      <c r="O35" s="389"/>
      <c r="P35" s="389"/>
      <c r="Q35" s="389"/>
      <c r="R35" s="389"/>
      <c r="S35" s="389"/>
      <c r="T35" s="389"/>
      <c r="U35" s="389"/>
      <c r="V35" s="389"/>
      <c r="W35" s="389"/>
      <c r="X35" s="389"/>
      <c r="Y35" s="389"/>
      <c r="Z35" s="389"/>
      <c r="AA35" s="389"/>
      <c r="AB35" s="389"/>
      <c r="AC35" s="389"/>
      <c r="AD35" s="389"/>
      <c r="AE35" s="389"/>
      <c r="AF35" s="389"/>
      <c r="AG35" s="389"/>
      <c r="AH35" s="389"/>
      <c r="AI35" s="389"/>
      <c r="AJ35" s="389"/>
      <c r="AK35" s="425"/>
      <c r="AN35" s="426"/>
    </row>
    <row r="36" spans="1:40">
      <c r="A36" s="270"/>
      <c r="C36" s="382" t="s">
        <v>460</v>
      </c>
      <c r="D36" s="388"/>
      <c r="E36" s="389"/>
      <c r="F36" s="389"/>
      <c r="G36" s="389"/>
      <c r="H36" s="389"/>
      <c r="I36" s="389"/>
      <c r="J36" s="389"/>
      <c r="K36" s="389"/>
      <c r="L36" s="389"/>
      <c r="M36" s="389"/>
      <c r="N36" s="389"/>
      <c r="O36" s="389"/>
      <c r="P36" s="389"/>
      <c r="Q36" s="389"/>
      <c r="R36" s="389"/>
      <c r="S36" s="389"/>
      <c r="T36" s="389"/>
      <c r="U36" s="389"/>
      <c r="V36" s="389"/>
      <c r="W36" s="389"/>
      <c r="X36" s="389"/>
      <c r="Y36" s="389"/>
      <c r="Z36" s="389"/>
      <c r="AA36" s="389"/>
      <c r="AB36" s="389"/>
      <c r="AC36" s="389"/>
      <c r="AD36" s="389"/>
      <c r="AE36" s="389"/>
      <c r="AF36" s="389"/>
      <c r="AG36" s="389"/>
      <c r="AH36" s="389"/>
      <c r="AI36" s="389"/>
      <c r="AJ36" s="389"/>
      <c r="AK36" s="425"/>
      <c r="AN36" s="426"/>
    </row>
    <row r="37" spans="1:40">
      <c r="A37" s="270"/>
      <c r="C37" s="382" t="s">
        <v>461</v>
      </c>
      <c r="D37" s="388"/>
      <c r="E37" s="389"/>
      <c r="F37" s="389"/>
      <c r="G37" s="389"/>
      <c r="H37" s="389"/>
      <c r="I37" s="389"/>
      <c r="J37" s="389"/>
      <c r="K37" s="389"/>
      <c r="L37" s="389"/>
      <c r="M37" s="389"/>
      <c r="N37" s="389"/>
      <c r="O37" s="389"/>
      <c r="P37" s="389"/>
      <c r="Q37" s="389"/>
      <c r="R37" s="389"/>
      <c r="S37" s="389"/>
      <c r="T37" s="389"/>
      <c r="U37" s="389"/>
      <c r="V37" s="389"/>
      <c r="W37" s="389"/>
      <c r="X37" s="389"/>
      <c r="Y37" s="389"/>
      <c r="Z37" s="389"/>
      <c r="AA37" s="389"/>
      <c r="AB37" s="389"/>
      <c r="AC37" s="389"/>
      <c r="AD37" s="389"/>
      <c r="AE37" s="389"/>
      <c r="AF37" s="389"/>
      <c r="AG37" s="389"/>
      <c r="AH37" s="389"/>
      <c r="AI37" s="389"/>
      <c r="AJ37" s="389"/>
      <c r="AK37" s="425"/>
      <c r="AN37" s="426"/>
    </row>
    <row r="38" spans="1:40">
      <c r="A38" s="270"/>
      <c r="C38" s="382"/>
      <c r="D38" s="388"/>
      <c r="E38" s="389"/>
      <c r="F38" s="389"/>
      <c r="G38" s="389"/>
      <c r="H38" s="389"/>
      <c r="I38" s="389"/>
      <c r="J38" s="389"/>
      <c r="K38" s="389"/>
      <c r="L38" s="389"/>
      <c r="M38" s="389"/>
      <c r="N38" s="389"/>
      <c r="O38" s="389"/>
      <c r="P38" s="389"/>
      <c r="Q38" s="389"/>
      <c r="R38" s="389"/>
      <c r="S38" s="389"/>
      <c r="T38" s="389"/>
      <c r="U38" s="389"/>
      <c r="V38" s="389"/>
      <c r="W38" s="389"/>
      <c r="X38" s="389"/>
      <c r="Y38" s="389"/>
      <c r="Z38" s="389"/>
      <c r="AA38" s="389"/>
      <c r="AB38" s="389"/>
      <c r="AC38" s="389"/>
      <c r="AD38" s="389"/>
      <c r="AE38" s="389"/>
      <c r="AF38" s="389"/>
      <c r="AG38" s="389"/>
      <c r="AH38" s="389"/>
      <c r="AI38" s="389"/>
      <c r="AJ38" s="389"/>
      <c r="AK38" s="425"/>
      <c r="AN38" s="426"/>
    </row>
    <row r="39" spans="1:40">
      <c r="A39" s="270"/>
      <c r="C39" s="382"/>
      <c r="D39" s="388"/>
      <c r="E39" s="389"/>
      <c r="F39" s="389"/>
      <c r="G39" s="389"/>
      <c r="H39" s="389"/>
      <c r="I39" s="389"/>
      <c r="J39" s="389"/>
      <c r="K39" s="389"/>
      <c r="L39" s="389"/>
      <c r="M39" s="389"/>
      <c r="N39" s="389"/>
      <c r="O39" s="389"/>
      <c r="P39" s="389"/>
      <c r="Q39" s="389"/>
      <c r="R39" s="389"/>
      <c r="S39" s="389"/>
      <c r="T39" s="389"/>
      <c r="U39" s="389"/>
      <c r="V39" s="389"/>
      <c r="W39" s="389"/>
      <c r="X39" s="389"/>
      <c r="Y39" s="389"/>
      <c r="Z39" s="389"/>
      <c r="AA39" s="389"/>
      <c r="AB39" s="389"/>
      <c r="AC39" s="389"/>
      <c r="AD39" s="389"/>
      <c r="AE39" s="389"/>
      <c r="AF39" s="389"/>
      <c r="AG39" s="389"/>
      <c r="AH39" s="389"/>
      <c r="AI39" s="389"/>
      <c r="AJ39" s="389"/>
      <c r="AK39" s="425"/>
      <c r="AN39" s="426"/>
    </row>
    <row r="40" spans="1:40">
      <c r="A40" s="270"/>
      <c r="C40" s="382"/>
      <c r="D40" s="388"/>
      <c r="E40" s="389"/>
      <c r="F40" s="389"/>
      <c r="G40" s="389"/>
      <c r="H40" s="389"/>
      <c r="I40" s="389"/>
      <c r="J40" s="389"/>
      <c r="K40" s="389"/>
      <c r="L40" s="389"/>
      <c r="M40" s="389"/>
      <c r="N40" s="389"/>
      <c r="O40" s="389"/>
      <c r="P40" s="389"/>
      <c r="Q40" s="389"/>
      <c r="R40" s="389"/>
      <c r="S40" s="389"/>
      <c r="T40" s="389"/>
      <c r="U40" s="389"/>
      <c r="V40" s="389"/>
      <c r="W40" s="389"/>
      <c r="X40" s="389"/>
      <c r="Y40" s="389"/>
      <c r="Z40" s="389"/>
      <c r="AA40" s="389"/>
      <c r="AB40" s="389"/>
      <c r="AC40" s="389"/>
      <c r="AD40" s="389"/>
      <c r="AE40" s="389"/>
      <c r="AF40" s="389"/>
      <c r="AG40" s="389"/>
      <c r="AH40" s="389"/>
      <c r="AI40" s="389"/>
      <c r="AJ40" s="389"/>
      <c r="AK40" s="425"/>
      <c r="AN40" s="426"/>
    </row>
    <row r="41" spans="1:40">
      <c r="A41" s="270"/>
      <c r="C41" s="382"/>
      <c r="D41" s="388"/>
      <c r="E41" s="389"/>
      <c r="F41" s="389"/>
      <c r="G41" s="389"/>
      <c r="H41" s="389"/>
      <c r="I41" s="389"/>
      <c r="J41" s="389"/>
      <c r="K41" s="389"/>
      <c r="L41" s="389"/>
      <c r="M41" s="389"/>
      <c r="N41" s="389"/>
      <c r="O41" s="389"/>
      <c r="P41" s="389"/>
      <c r="Q41" s="389"/>
      <c r="R41" s="389"/>
      <c r="S41" s="389"/>
      <c r="T41" s="389"/>
      <c r="U41" s="389"/>
      <c r="V41" s="389"/>
      <c r="W41" s="389"/>
      <c r="X41" s="389"/>
      <c r="Y41" s="389"/>
      <c r="Z41" s="389"/>
      <c r="AA41" s="389"/>
      <c r="AB41" s="389"/>
      <c r="AC41" s="389"/>
      <c r="AD41" s="389"/>
      <c r="AE41" s="389"/>
      <c r="AF41" s="389"/>
      <c r="AG41" s="389"/>
      <c r="AH41" s="389"/>
      <c r="AI41" s="389"/>
      <c r="AJ41" s="389"/>
      <c r="AK41" s="425"/>
      <c r="AN41" s="426"/>
    </row>
    <row r="42" spans="1:40" ht="16.5" thickBot="1">
      <c r="A42" s="270"/>
      <c r="C42" s="385" t="s">
        <v>462</v>
      </c>
      <c r="D42" s="273">
        <v>0</v>
      </c>
      <c r="E42" s="274">
        <v>0</v>
      </c>
      <c r="F42" s="274">
        <v>0</v>
      </c>
      <c r="G42" s="274">
        <v>0</v>
      </c>
      <c r="H42" s="274">
        <v>0</v>
      </c>
      <c r="I42" s="274">
        <v>0</v>
      </c>
      <c r="J42" s="274">
        <v>0</v>
      </c>
      <c r="K42" s="274">
        <v>0</v>
      </c>
      <c r="L42" s="274">
        <v>0</v>
      </c>
      <c r="M42" s="274">
        <v>0</v>
      </c>
      <c r="N42" s="274">
        <v>0</v>
      </c>
      <c r="O42" s="274">
        <v>0</v>
      </c>
      <c r="P42" s="274">
        <v>0</v>
      </c>
      <c r="Q42" s="274">
        <v>0</v>
      </c>
      <c r="R42" s="274">
        <v>0</v>
      </c>
      <c r="S42" s="274">
        <v>0</v>
      </c>
      <c r="T42" s="274">
        <v>0</v>
      </c>
      <c r="U42" s="274">
        <v>0</v>
      </c>
      <c r="V42" s="274">
        <v>0</v>
      </c>
      <c r="W42" s="274">
        <v>0</v>
      </c>
      <c r="X42" s="274">
        <v>0</v>
      </c>
      <c r="Y42" s="274">
        <v>0</v>
      </c>
      <c r="Z42" s="274">
        <v>0</v>
      </c>
      <c r="AA42" s="274">
        <v>0</v>
      </c>
      <c r="AB42" s="274">
        <v>0</v>
      </c>
      <c r="AC42" s="274">
        <v>0</v>
      </c>
      <c r="AD42" s="274">
        <v>0</v>
      </c>
      <c r="AE42" s="274">
        <v>0</v>
      </c>
      <c r="AF42" s="274">
        <v>0</v>
      </c>
      <c r="AG42" s="274">
        <v>0</v>
      </c>
      <c r="AH42" s="274">
        <v>0</v>
      </c>
      <c r="AI42" s="274">
        <v>0</v>
      </c>
      <c r="AJ42" s="274">
        <v>0</v>
      </c>
      <c r="AK42" s="275"/>
    </row>
    <row r="43" spans="1:40" ht="3.75" customHeight="1">
      <c r="A43" s="270"/>
      <c r="C43" s="386"/>
      <c r="D43" s="387"/>
      <c r="E43" s="387"/>
      <c r="F43" s="387"/>
      <c r="G43" s="387"/>
      <c r="H43" s="387"/>
      <c r="I43" s="387"/>
      <c r="J43" s="387"/>
      <c r="K43" s="387"/>
      <c r="L43" s="387"/>
      <c r="M43" s="387"/>
      <c r="N43" s="387"/>
      <c r="O43" s="387"/>
      <c r="P43" s="387"/>
      <c r="Q43" s="387"/>
      <c r="R43" s="387"/>
      <c r="S43" s="387"/>
      <c r="T43" s="387"/>
      <c r="U43" s="387"/>
      <c r="V43" s="387"/>
      <c r="W43" s="387"/>
      <c r="X43" s="387"/>
      <c r="Y43" s="387"/>
      <c r="Z43" s="387"/>
      <c r="AA43" s="387"/>
      <c r="AB43" s="387"/>
      <c r="AC43" s="387"/>
      <c r="AD43" s="387"/>
      <c r="AE43" s="387"/>
      <c r="AF43" s="387"/>
      <c r="AG43" s="387"/>
      <c r="AH43" s="387"/>
      <c r="AI43" s="387"/>
      <c r="AJ43" s="387"/>
      <c r="AK43" s="425"/>
      <c r="AN43" s="426"/>
    </row>
    <row r="44" spans="1:40">
      <c r="A44" s="270"/>
      <c r="C44" s="391" t="s">
        <v>517</v>
      </c>
      <c r="D44" s="392"/>
      <c r="E44" s="393"/>
      <c r="F44" s="393"/>
      <c r="G44" s="393"/>
      <c r="H44" s="393"/>
      <c r="I44" s="393"/>
      <c r="J44" s="393"/>
      <c r="K44" s="393"/>
      <c r="L44" s="393"/>
      <c r="M44" s="393"/>
      <c r="N44" s="393"/>
      <c r="O44" s="393"/>
      <c r="P44" s="393"/>
      <c r="Q44" s="393"/>
      <c r="R44" s="393"/>
      <c r="S44" s="393"/>
      <c r="T44" s="393"/>
      <c r="U44" s="393"/>
      <c r="V44" s="393"/>
      <c r="W44" s="393"/>
      <c r="X44" s="393"/>
      <c r="Y44" s="393"/>
      <c r="Z44" s="393"/>
      <c r="AA44" s="393"/>
      <c r="AB44" s="393"/>
      <c r="AC44" s="393"/>
      <c r="AD44" s="393"/>
      <c r="AE44" s="393"/>
      <c r="AF44" s="393"/>
      <c r="AG44" s="393"/>
      <c r="AH44" s="393"/>
      <c r="AI44" s="393"/>
      <c r="AJ44" s="393"/>
      <c r="AK44" s="425"/>
      <c r="AN44" s="426"/>
    </row>
    <row r="45" spans="1:40">
      <c r="A45" s="270"/>
      <c r="C45" s="382" t="s">
        <v>463</v>
      </c>
      <c r="D45" s="388"/>
      <c r="E45" s="389"/>
      <c r="F45" s="389"/>
      <c r="G45" s="389"/>
      <c r="H45" s="389"/>
      <c r="I45" s="389"/>
      <c r="J45" s="389"/>
      <c r="K45" s="389"/>
      <c r="L45" s="389"/>
      <c r="M45" s="389"/>
      <c r="N45" s="389"/>
      <c r="O45" s="389"/>
      <c r="P45" s="389"/>
      <c r="Q45" s="389"/>
      <c r="R45" s="389"/>
      <c r="S45" s="389"/>
      <c r="T45" s="389"/>
      <c r="U45" s="389"/>
      <c r="V45" s="389"/>
      <c r="W45" s="389"/>
      <c r="X45" s="389"/>
      <c r="Y45" s="389"/>
      <c r="Z45" s="389"/>
      <c r="AA45" s="389"/>
      <c r="AB45" s="389"/>
      <c r="AC45" s="389"/>
      <c r="AD45" s="389"/>
      <c r="AE45" s="389"/>
      <c r="AF45" s="389"/>
      <c r="AG45" s="389"/>
      <c r="AH45" s="389"/>
      <c r="AI45" s="389"/>
      <c r="AJ45" s="389"/>
      <c r="AK45" s="425"/>
      <c r="AN45" s="426"/>
    </row>
    <row r="46" spans="1:40">
      <c r="A46" s="270"/>
      <c r="C46" s="382" t="s">
        <v>464</v>
      </c>
      <c r="D46" s="388"/>
      <c r="E46" s="389"/>
      <c r="F46" s="389"/>
      <c r="G46" s="389"/>
      <c r="H46" s="389"/>
      <c r="I46" s="389"/>
      <c r="J46" s="389"/>
      <c r="K46" s="389"/>
      <c r="L46" s="389"/>
      <c r="M46" s="389"/>
      <c r="N46" s="389"/>
      <c r="O46" s="389"/>
      <c r="P46" s="389"/>
      <c r="Q46" s="389"/>
      <c r="R46" s="389"/>
      <c r="S46" s="389"/>
      <c r="T46" s="389"/>
      <c r="U46" s="389"/>
      <c r="V46" s="389"/>
      <c r="W46" s="389"/>
      <c r="X46" s="389"/>
      <c r="Y46" s="389"/>
      <c r="Z46" s="389"/>
      <c r="AA46" s="389"/>
      <c r="AB46" s="389"/>
      <c r="AC46" s="389"/>
      <c r="AD46" s="389"/>
      <c r="AE46" s="389"/>
      <c r="AF46" s="389"/>
      <c r="AG46" s="389"/>
      <c r="AH46" s="389"/>
      <c r="AI46" s="389"/>
      <c r="AJ46" s="389"/>
      <c r="AK46" s="425"/>
      <c r="AN46" s="426"/>
    </row>
    <row r="47" spans="1:40">
      <c r="A47" s="270"/>
      <c r="C47" s="382" t="s">
        <v>465</v>
      </c>
      <c r="D47" s="388"/>
      <c r="E47" s="389"/>
      <c r="F47" s="389"/>
      <c r="G47" s="389"/>
      <c r="H47" s="389"/>
      <c r="I47" s="389"/>
      <c r="J47" s="389"/>
      <c r="K47" s="389"/>
      <c r="L47" s="389"/>
      <c r="M47" s="389"/>
      <c r="N47" s="389"/>
      <c r="O47" s="389"/>
      <c r="P47" s="389"/>
      <c r="Q47" s="389"/>
      <c r="R47" s="389"/>
      <c r="S47" s="389"/>
      <c r="T47" s="389"/>
      <c r="U47" s="389"/>
      <c r="V47" s="389"/>
      <c r="W47" s="389"/>
      <c r="X47" s="389"/>
      <c r="Y47" s="389"/>
      <c r="Z47" s="389"/>
      <c r="AA47" s="389"/>
      <c r="AB47" s="389"/>
      <c r="AC47" s="389"/>
      <c r="AD47" s="389"/>
      <c r="AE47" s="389"/>
      <c r="AF47" s="389"/>
      <c r="AG47" s="389"/>
      <c r="AH47" s="389"/>
      <c r="AI47" s="389"/>
      <c r="AJ47" s="389"/>
      <c r="AK47" s="425"/>
      <c r="AN47" s="426"/>
    </row>
    <row r="48" spans="1:40">
      <c r="A48" s="270"/>
      <c r="C48" s="382" t="s">
        <v>466</v>
      </c>
      <c r="D48" s="388"/>
      <c r="E48" s="389"/>
      <c r="F48" s="389"/>
      <c r="G48" s="389"/>
      <c r="H48" s="389"/>
      <c r="I48" s="389"/>
      <c r="J48" s="389"/>
      <c r="K48" s="389"/>
      <c r="L48" s="389"/>
      <c r="M48" s="389"/>
      <c r="N48" s="389"/>
      <c r="O48" s="389"/>
      <c r="P48" s="389"/>
      <c r="Q48" s="389"/>
      <c r="R48" s="389"/>
      <c r="S48" s="389"/>
      <c r="T48" s="389"/>
      <c r="U48" s="389"/>
      <c r="V48" s="389"/>
      <c r="W48" s="389"/>
      <c r="X48" s="389"/>
      <c r="Y48" s="389"/>
      <c r="Z48" s="389"/>
      <c r="AA48" s="389"/>
      <c r="AB48" s="389"/>
      <c r="AC48" s="389"/>
      <c r="AD48" s="389"/>
      <c r="AE48" s="389"/>
      <c r="AF48" s="389"/>
      <c r="AG48" s="389"/>
      <c r="AH48" s="389"/>
      <c r="AI48" s="389"/>
      <c r="AJ48" s="389"/>
      <c r="AK48" s="425"/>
      <c r="AN48" s="426"/>
    </row>
    <row r="49" spans="1:41">
      <c r="A49" s="270"/>
      <c r="C49" s="382" t="s">
        <v>467</v>
      </c>
      <c r="D49" s="388"/>
      <c r="E49" s="389"/>
      <c r="F49" s="389"/>
      <c r="G49" s="389"/>
      <c r="H49" s="389"/>
      <c r="I49" s="389"/>
      <c r="J49" s="389"/>
      <c r="K49" s="389"/>
      <c r="L49" s="389"/>
      <c r="M49" s="389"/>
      <c r="N49" s="389"/>
      <c r="O49" s="389"/>
      <c r="P49" s="389"/>
      <c r="Q49" s="389"/>
      <c r="R49" s="389"/>
      <c r="S49" s="389"/>
      <c r="T49" s="389"/>
      <c r="U49" s="389"/>
      <c r="V49" s="389"/>
      <c r="W49" s="389"/>
      <c r="X49" s="389"/>
      <c r="Y49" s="389"/>
      <c r="Z49" s="389"/>
      <c r="AA49" s="389"/>
      <c r="AB49" s="389"/>
      <c r="AC49" s="389"/>
      <c r="AD49" s="389"/>
      <c r="AE49" s="389"/>
      <c r="AF49" s="389"/>
      <c r="AG49" s="389"/>
      <c r="AH49" s="389"/>
      <c r="AI49" s="389"/>
      <c r="AJ49" s="389"/>
      <c r="AK49" s="425"/>
      <c r="AN49" s="426"/>
    </row>
    <row r="50" spans="1:41">
      <c r="A50" s="270"/>
      <c r="C50" s="382" t="s">
        <v>468</v>
      </c>
      <c r="D50" s="388"/>
      <c r="E50" s="389"/>
      <c r="F50" s="389"/>
      <c r="G50" s="389"/>
      <c r="H50" s="389"/>
      <c r="I50" s="389"/>
      <c r="J50" s="389"/>
      <c r="K50" s="389"/>
      <c r="L50" s="389"/>
      <c r="M50" s="389"/>
      <c r="N50" s="389"/>
      <c r="O50" s="389"/>
      <c r="P50" s="389"/>
      <c r="Q50" s="389"/>
      <c r="R50" s="389"/>
      <c r="S50" s="389"/>
      <c r="T50" s="389"/>
      <c r="U50" s="389"/>
      <c r="V50" s="389"/>
      <c r="W50" s="389"/>
      <c r="X50" s="389"/>
      <c r="Y50" s="389"/>
      <c r="Z50" s="389"/>
      <c r="AA50" s="389"/>
      <c r="AB50" s="389"/>
      <c r="AC50" s="389"/>
      <c r="AD50" s="389"/>
      <c r="AE50" s="389"/>
      <c r="AF50" s="389"/>
      <c r="AG50" s="389"/>
      <c r="AH50" s="389"/>
      <c r="AI50" s="389"/>
      <c r="AJ50" s="389"/>
      <c r="AK50" s="425"/>
      <c r="AN50" s="426"/>
    </row>
    <row r="51" spans="1:41">
      <c r="A51" s="270"/>
      <c r="C51" s="382" t="s">
        <v>469</v>
      </c>
      <c r="D51" s="388"/>
      <c r="E51" s="388"/>
      <c r="F51" s="388"/>
      <c r="G51" s="389"/>
      <c r="H51" s="389"/>
      <c r="I51" s="389"/>
      <c r="J51" s="389"/>
      <c r="K51" s="389"/>
      <c r="L51" s="389"/>
      <c r="M51" s="389"/>
      <c r="N51" s="389"/>
      <c r="O51" s="389"/>
      <c r="P51" s="389"/>
      <c r="Q51" s="389"/>
      <c r="R51" s="389"/>
      <c r="S51" s="389"/>
      <c r="T51" s="389"/>
      <c r="U51" s="389"/>
      <c r="V51" s="389"/>
      <c r="W51" s="389"/>
      <c r="X51" s="389"/>
      <c r="Y51" s="389"/>
      <c r="Z51" s="389"/>
      <c r="AA51" s="389"/>
      <c r="AB51" s="389"/>
      <c r="AC51" s="389"/>
      <c r="AD51" s="389"/>
      <c r="AE51" s="389"/>
      <c r="AF51" s="389"/>
      <c r="AG51" s="389"/>
      <c r="AH51" s="389"/>
      <c r="AI51" s="389"/>
      <c r="AJ51" s="389"/>
      <c r="AK51" s="425"/>
      <c r="AN51" s="426"/>
    </row>
    <row r="52" spans="1:41">
      <c r="A52" s="270"/>
      <c r="C52" s="382" t="s">
        <v>470</v>
      </c>
      <c r="D52" s="388"/>
      <c r="E52" s="389"/>
      <c r="F52" s="389"/>
      <c r="G52" s="389"/>
      <c r="H52" s="389"/>
      <c r="I52" s="389"/>
      <c r="J52" s="389"/>
      <c r="K52" s="389"/>
      <c r="L52" s="389"/>
      <c r="M52" s="389"/>
      <c r="N52" s="389"/>
      <c r="O52" s="389"/>
      <c r="P52" s="389"/>
      <c r="Q52" s="389"/>
      <c r="R52" s="389"/>
      <c r="S52" s="389"/>
      <c r="T52" s="389"/>
      <c r="U52" s="389"/>
      <c r="V52" s="389"/>
      <c r="W52" s="389"/>
      <c r="X52" s="389"/>
      <c r="Y52" s="389"/>
      <c r="Z52" s="389"/>
      <c r="AA52" s="389"/>
      <c r="AB52" s="389"/>
      <c r="AC52" s="389"/>
      <c r="AD52" s="389"/>
      <c r="AE52" s="389"/>
      <c r="AF52" s="389"/>
      <c r="AG52" s="389"/>
      <c r="AH52" s="389"/>
      <c r="AI52" s="389"/>
      <c r="AJ52" s="389"/>
      <c r="AK52" s="425"/>
      <c r="AN52" s="426"/>
    </row>
    <row r="53" spans="1:41">
      <c r="A53" s="270"/>
      <c r="C53" s="382" t="s">
        <v>471</v>
      </c>
      <c r="D53" s="388"/>
      <c r="E53" s="389"/>
      <c r="F53" s="389"/>
      <c r="G53" s="389"/>
      <c r="H53" s="389"/>
      <c r="I53" s="389"/>
      <c r="J53" s="389"/>
      <c r="K53" s="389"/>
      <c r="L53" s="389"/>
      <c r="M53" s="389"/>
      <c r="N53" s="389"/>
      <c r="O53" s="389"/>
      <c r="P53" s="389"/>
      <c r="Q53" s="389"/>
      <c r="R53" s="389"/>
      <c r="S53" s="389"/>
      <c r="T53" s="389"/>
      <c r="U53" s="389"/>
      <c r="V53" s="389"/>
      <c r="W53" s="389"/>
      <c r="X53" s="389"/>
      <c r="Y53" s="389"/>
      <c r="Z53" s="389"/>
      <c r="AA53" s="389"/>
      <c r="AB53" s="389"/>
      <c r="AC53" s="389"/>
      <c r="AD53" s="389"/>
      <c r="AE53" s="389"/>
      <c r="AF53" s="389"/>
      <c r="AG53" s="389"/>
      <c r="AH53" s="389"/>
      <c r="AI53" s="389"/>
      <c r="AJ53" s="389"/>
      <c r="AK53" s="425"/>
      <c r="AN53" s="426"/>
    </row>
    <row r="54" spans="1:41">
      <c r="A54" s="270"/>
      <c r="C54" s="382" t="s">
        <v>472</v>
      </c>
      <c r="D54" s="388"/>
      <c r="E54" s="389"/>
      <c r="F54" s="389"/>
      <c r="G54" s="389"/>
      <c r="H54" s="389"/>
      <c r="I54" s="389"/>
      <c r="J54" s="389"/>
      <c r="K54" s="389"/>
      <c r="L54" s="389"/>
      <c r="M54" s="389"/>
      <c r="N54" s="389"/>
      <c r="O54" s="389"/>
      <c r="P54" s="389"/>
      <c r="Q54" s="389"/>
      <c r="R54" s="389"/>
      <c r="S54" s="389"/>
      <c r="T54" s="389"/>
      <c r="U54" s="389"/>
      <c r="V54" s="389"/>
      <c r="W54" s="389"/>
      <c r="X54" s="389"/>
      <c r="Y54" s="389"/>
      <c r="Z54" s="389"/>
      <c r="AA54" s="389"/>
      <c r="AB54" s="389"/>
      <c r="AC54" s="389"/>
      <c r="AD54" s="389"/>
      <c r="AE54" s="389"/>
      <c r="AF54" s="389"/>
      <c r="AG54" s="389"/>
      <c r="AH54" s="389"/>
      <c r="AI54" s="389"/>
      <c r="AJ54" s="389"/>
      <c r="AK54" s="425"/>
      <c r="AN54" s="426"/>
    </row>
    <row r="55" spans="1:41">
      <c r="A55" s="270"/>
      <c r="C55" s="382"/>
      <c r="D55" s="388"/>
      <c r="E55" s="389"/>
      <c r="F55" s="389"/>
      <c r="G55" s="389"/>
      <c r="H55" s="389"/>
      <c r="I55" s="389"/>
      <c r="J55" s="389"/>
      <c r="K55" s="389"/>
      <c r="L55" s="389"/>
      <c r="M55" s="389"/>
      <c r="N55" s="389"/>
      <c r="O55" s="389"/>
      <c r="P55" s="389"/>
      <c r="Q55" s="389"/>
      <c r="R55" s="389"/>
      <c r="S55" s="389"/>
      <c r="T55" s="389"/>
      <c r="U55" s="389"/>
      <c r="V55" s="389"/>
      <c r="W55" s="389"/>
      <c r="X55" s="389"/>
      <c r="Y55" s="389"/>
      <c r="Z55" s="389"/>
      <c r="AA55" s="389"/>
      <c r="AB55" s="389"/>
      <c r="AC55" s="389"/>
      <c r="AD55" s="389"/>
      <c r="AE55" s="389"/>
      <c r="AF55" s="389"/>
      <c r="AG55" s="389"/>
      <c r="AH55" s="389"/>
      <c r="AI55" s="389"/>
      <c r="AJ55" s="389"/>
      <c r="AK55" s="425"/>
      <c r="AN55" s="426"/>
    </row>
    <row r="56" spans="1:41">
      <c r="A56" s="270"/>
      <c r="C56" s="382"/>
      <c r="D56" s="388"/>
      <c r="E56" s="389"/>
      <c r="F56" s="389"/>
      <c r="G56" s="389"/>
      <c r="H56" s="389"/>
      <c r="I56" s="389"/>
      <c r="J56" s="389"/>
      <c r="K56" s="389"/>
      <c r="L56" s="389"/>
      <c r="M56" s="389"/>
      <c r="N56" s="389"/>
      <c r="O56" s="389"/>
      <c r="P56" s="389"/>
      <c r="Q56" s="389"/>
      <c r="R56" s="389"/>
      <c r="S56" s="389"/>
      <c r="T56" s="389"/>
      <c r="U56" s="389"/>
      <c r="V56" s="389"/>
      <c r="W56" s="389"/>
      <c r="X56" s="389"/>
      <c r="Y56" s="389"/>
      <c r="Z56" s="389"/>
      <c r="AA56" s="389"/>
      <c r="AB56" s="389"/>
      <c r="AC56" s="389"/>
      <c r="AD56" s="389"/>
      <c r="AE56" s="389"/>
      <c r="AF56" s="389"/>
      <c r="AG56" s="389"/>
      <c r="AH56" s="389"/>
      <c r="AI56" s="389"/>
      <c r="AJ56" s="389"/>
      <c r="AK56" s="425"/>
      <c r="AN56" s="426"/>
    </row>
    <row r="57" spans="1:41">
      <c r="A57" s="270"/>
      <c r="C57" s="382"/>
      <c r="D57" s="383"/>
      <c r="E57" s="384"/>
      <c r="F57" s="384"/>
      <c r="G57" s="384"/>
      <c r="H57" s="384"/>
      <c r="I57" s="384"/>
      <c r="J57" s="384"/>
      <c r="K57" s="384"/>
      <c r="L57" s="384"/>
      <c r="M57" s="384"/>
      <c r="N57" s="384"/>
      <c r="O57" s="384"/>
      <c r="P57" s="384"/>
      <c r="Q57" s="384"/>
      <c r="R57" s="384"/>
      <c r="S57" s="384"/>
      <c r="T57" s="384"/>
      <c r="U57" s="384"/>
      <c r="V57" s="384"/>
      <c r="W57" s="384"/>
      <c r="X57" s="384"/>
      <c r="Y57" s="384"/>
      <c r="Z57" s="384"/>
      <c r="AA57" s="384"/>
      <c r="AB57" s="384"/>
      <c r="AC57" s="384"/>
      <c r="AD57" s="384"/>
      <c r="AE57" s="384"/>
      <c r="AF57" s="384"/>
      <c r="AG57" s="384"/>
      <c r="AH57" s="384"/>
      <c r="AI57" s="384"/>
      <c r="AJ57" s="384"/>
      <c r="AK57" s="424"/>
      <c r="AN57" s="426"/>
    </row>
    <row r="58" spans="1:41">
      <c r="A58" s="270"/>
      <c r="C58" s="382"/>
      <c r="D58" s="383"/>
      <c r="E58" s="384"/>
      <c r="F58" s="384"/>
      <c r="G58" s="384"/>
      <c r="H58" s="384"/>
      <c r="I58" s="384"/>
      <c r="J58" s="384"/>
      <c r="K58" s="384"/>
      <c r="L58" s="384"/>
      <c r="M58" s="384"/>
      <c r="N58" s="384"/>
      <c r="O58" s="384"/>
      <c r="P58" s="384"/>
      <c r="Q58" s="384"/>
      <c r="R58" s="384"/>
      <c r="S58" s="384"/>
      <c r="T58" s="384"/>
      <c r="U58" s="384"/>
      <c r="V58" s="384"/>
      <c r="W58" s="384"/>
      <c r="X58" s="384"/>
      <c r="Y58" s="384"/>
      <c r="Z58" s="384"/>
      <c r="AA58" s="384"/>
      <c r="AB58" s="384"/>
      <c r="AC58" s="384"/>
      <c r="AD58" s="384"/>
      <c r="AE58" s="384"/>
      <c r="AF58" s="384"/>
      <c r="AG58" s="384"/>
      <c r="AH58" s="384"/>
      <c r="AI58" s="384"/>
      <c r="AJ58" s="384"/>
      <c r="AK58" s="424"/>
      <c r="AN58" s="426"/>
      <c r="AO58" s="426"/>
    </row>
    <row r="59" spans="1:41" ht="16.5" thickBot="1">
      <c r="A59" s="270"/>
      <c r="C59" s="385" t="s">
        <v>473</v>
      </c>
      <c r="D59" s="273">
        <v>0</v>
      </c>
      <c r="E59" s="274">
        <v>0</v>
      </c>
      <c r="F59" s="274">
        <v>0</v>
      </c>
      <c r="G59" s="274">
        <v>0</v>
      </c>
      <c r="H59" s="274">
        <v>0</v>
      </c>
      <c r="I59" s="274">
        <v>0</v>
      </c>
      <c r="J59" s="274">
        <v>0</v>
      </c>
      <c r="K59" s="274">
        <v>0</v>
      </c>
      <c r="L59" s="274">
        <v>0</v>
      </c>
      <c r="M59" s="274">
        <v>0</v>
      </c>
      <c r="N59" s="274">
        <v>0</v>
      </c>
      <c r="O59" s="274">
        <v>0</v>
      </c>
      <c r="P59" s="274">
        <v>0</v>
      </c>
      <c r="Q59" s="274">
        <v>0</v>
      </c>
      <c r="R59" s="274">
        <v>0</v>
      </c>
      <c r="S59" s="274">
        <v>0</v>
      </c>
      <c r="T59" s="274">
        <v>0</v>
      </c>
      <c r="U59" s="274">
        <v>0</v>
      </c>
      <c r="V59" s="274">
        <v>0</v>
      </c>
      <c r="W59" s="274">
        <v>0</v>
      </c>
      <c r="X59" s="274">
        <v>0</v>
      </c>
      <c r="Y59" s="274">
        <v>0</v>
      </c>
      <c r="Z59" s="274">
        <v>0</v>
      </c>
      <c r="AA59" s="274">
        <v>0</v>
      </c>
      <c r="AB59" s="274">
        <v>0</v>
      </c>
      <c r="AC59" s="274">
        <v>0</v>
      </c>
      <c r="AD59" s="274">
        <v>0</v>
      </c>
      <c r="AE59" s="274">
        <v>0</v>
      </c>
      <c r="AF59" s="274">
        <v>0</v>
      </c>
      <c r="AG59" s="274">
        <v>0</v>
      </c>
      <c r="AH59" s="274">
        <v>0</v>
      </c>
      <c r="AI59" s="274">
        <v>0</v>
      </c>
      <c r="AJ59" s="274">
        <v>0</v>
      </c>
      <c r="AK59" s="275"/>
    </row>
    <row r="60" spans="1:41" ht="3.75" customHeight="1">
      <c r="A60" s="270"/>
    </row>
    <row r="61" spans="1:41">
      <c r="A61" s="270"/>
      <c r="C61" s="391" t="s">
        <v>499</v>
      </c>
      <c r="D61" s="392"/>
      <c r="E61" s="393"/>
      <c r="F61" s="393"/>
      <c r="G61" s="393"/>
      <c r="H61" s="393"/>
      <c r="I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c r="AI61" s="393"/>
      <c r="AJ61" s="393"/>
      <c r="AK61" s="425"/>
      <c r="AN61" s="426"/>
    </row>
    <row r="62" spans="1:41">
      <c r="A62" s="270"/>
      <c r="C62" s="382" t="s">
        <v>500</v>
      </c>
      <c r="D62" s="388"/>
      <c r="E62" s="389"/>
      <c r="F62" s="389"/>
      <c r="G62" s="389"/>
      <c r="H62" s="389"/>
      <c r="I62" s="389"/>
      <c r="J62" s="389"/>
      <c r="K62" s="389"/>
      <c r="L62" s="389"/>
      <c r="M62" s="389"/>
      <c r="N62" s="389"/>
      <c r="O62" s="389"/>
      <c r="P62" s="389"/>
      <c r="Q62" s="389"/>
      <c r="R62" s="389"/>
      <c r="S62" s="389"/>
      <c r="T62" s="389"/>
      <c r="U62" s="389"/>
      <c r="V62" s="389"/>
      <c r="W62" s="389"/>
      <c r="X62" s="389"/>
      <c r="Y62" s="389"/>
      <c r="Z62" s="389"/>
      <c r="AA62" s="389"/>
      <c r="AB62" s="389"/>
      <c r="AC62" s="389"/>
      <c r="AD62" s="389"/>
      <c r="AE62" s="389"/>
      <c r="AF62" s="389"/>
      <c r="AG62" s="389"/>
      <c r="AH62" s="389"/>
      <c r="AI62" s="389"/>
      <c r="AJ62" s="389"/>
      <c r="AK62" s="425"/>
      <c r="AN62" s="426"/>
    </row>
    <row r="63" spans="1:41">
      <c r="A63" s="270"/>
      <c r="C63" s="382" t="s">
        <v>501</v>
      </c>
      <c r="D63" s="388"/>
      <c r="E63" s="389"/>
      <c r="F63" s="389"/>
      <c r="G63" s="389"/>
      <c r="H63" s="389"/>
      <c r="I63" s="389"/>
      <c r="J63" s="389"/>
      <c r="K63" s="389"/>
      <c r="L63" s="389"/>
      <c r="M63" s="389"/>
      <c r="N63" s="389"/>
      <c r="O63" s="389"/>
      <c r="P63" s="389"/>
      <c r="Q63" s="389"/>
      <c r="R63" s="389"/>
      <c r="S63" s="389"/>
      <c r="T63" s="389"/>
      <c r="U63" s="389"/>
      <c r="V63" s="389"/>
      <c r="W63" s="389"/>
      <c r="X63" s="389"/>
      <c r="Y63" s="389"/>
      <c r="Z63" s="389"/>
      <c r="AA63" s="389"/>
      <c r="AB63" s="389"/>
      <c r="AC63" s="389"/>
      <c r="AD63" s="389"/>
      <c r="AE63" s="389"/>
      <c r="AF63" s="389"/>
      <c r="AG63" s="389"/>
      <c r="AH63" s="389"/>
      <c r="AI63" s="389"/>
      <c r="AJ63" s="389"/>
      <c r="AK63" s="425"/>
      <c r="AN63" s="426"/>
    </row>
    <row r="64" spans="1:41">
      <c r="A64" s="270"/>
      <c r="C64" s="382" t="s">
        <v>502</v>
      </c>
      <c r="D64" s="388"/>
      <c r="E64" s="389"/>
      <c r="F64" s="389"/>
      <c r="G64" s="389"/>
      <c r="H64" s="389"/>
      <c r="I64" s="389"/>
      <c r="J64" s="389"/>
      <c r="K64" s="389"/>
      <c r="L64" s="389"/>
      <c r="M64" s="389"/>
      <c r="N64" s="389"/>
      <c r="O64" s="389"/>
      <c r="P64" s="389"/>
      <c r="Q64" s="389"/>
      <c r="R64" s="389"/>
      <c r="S64" s="389"/>
      <c r="T64" s="389"/>
      <c r="U64" s="389"/>
      <c r="V64" s="389"/>
      <c r="W64" s="389"/>
      <c r="X64" s="389"/>
      <c r="Y64" s="389"/>
      <c r="Z64" s="389"/>
      <c r="AA64" s="389"/>
      <c r="AB64" s="389"/>
      <c r="AC64" s="389"/>
      <c r="AD64" s="389"/>
      <c r="AE64" s="389"/>
      <c r="AF64" s="389"/>
      <c r="AG64" s="389"/>
      <c r="AH64" s="389"/>
      <c r="AI64" s="389"/>
      <c r="AJ64" s="389"/>
      <c r="AK64" s="425"/>
      <c r="AN64" s="426"/>
    </row>
    <row r="65" spans="1:41">
      <c r="A65" s="270"/>
      <c r="C65" s="382" t="s">
        <v>503</v>
      </c>
      <c r="D65" s="388"/>
      <c r="E65" s="389"/>
      <c r="F65" s="389"/>
      <c r="G65" s="389"/>
      <c r="H65" s="389"/>
      <c r="I65" s="389"/>
      <c r="J65" s="389"/>
      <c r="K65" s="389"/>
      <c r="L65" s="389"/>
      <c r="M65" s="389"/>
      <c r="N65" s="389"/>
      <c r="O65" s="389"/>
      <c r="P65" s="389"/>
      <c r="Q65" s="389"/>
      <c r="R65" s="389"/>
      <c r="S65" s="389"/>
      <c r="T65" s="389"/>
      <c r="U65" s="389"/>
      <c r="V65" s="389"/>
      <c r="W65" s="389"/>
      <c r="X65" s="389"/>
      <c r="Y65" s="389"/>
      <c r="Z65" s="389"/>
      <c r="AA65" s="389"/>
      <c r="AB65" s="389"/>
      <c r="AC65" s="389"/>
      <c r="AD65" s="389"/>
      <c r="AE65" s="389"/>
      <c r="AF65" s="389"/>
      <c r="AG65" s="389"/>
      <c r="AH65" s="389"/>
      <c r="AI65" s="389"/>
      <c r="AJ65" s="389"/>
      <c r="AK65" s="425"/>
      <c r="AN65" s="426"/>
    </row>
    <row r="66" spans="1:41">
      <c r="A66" s="270"/>
      <c r="C66" s="382" t="s">
        <v>504</v>
      </c>
      <c r="D66" s="388"/>
      <c r="E66" s="389"/>
      <c r="F66" s="389"/>
      <c r="G66" s="389"/>
      <c r="H66" s="389"/>
      <c r="I66" s="389"/>
      <c r="J66" s="389"/>
      <c r="K66" s="389"/>
      <c r="L66" s="389"/>
      <c r="M66" s="389"/>
      <c r="N66" s="389"/>
      <c r="O66" s="389"/>
      <c r="P66" s="389"/>
      <c r="Q66" s="389"/>
      <c r="R66" s="389"/>
      <c r="S66" s="389"/>
      <c r="T66" s="389"/>
      <c r="U66" s="389"/>
      <c r="V66" s="389"/>
      <c r="W66" s="389"/>
      <c r="X66" s="389"/>
      <c r="Y66" s="389"/>
      <c r="Z66" s="389"/>
      <c r="AA66" s="389"/>
      <c r="AB66" s="389"/>
      <c r="AC66" s="389"/>
      <c r="AD66" s="389"/>
      <c r="AE66" s="389"/>
      <c r="AF66" s="389"/>
      <c r="AG66" s="389"/>
      <c r="AH66" s="389"/>
      <c r="AI66" s="389"/>
      <c r="AJ66" s="389"/>
      <c r="AK66" s="425"/>
      <c r="AN66" s="426"/>
    </row>
    <row r="67" spans="1:41">
      <c r="A67" s="270"/>
      <c r="C67" s="382" t="s">
        <v>505</v>
      </c>
      <c r="D67" s="388"/>
      <c r="E67" s="389"/>
      <c r="F67" s="389"/>
      <c r="G67" s="389"/>
      <c r="H67" s="389"/>
      <c r="I67" s="389"/>
      <c r="J67" s="389"/>
      <c r="K67" s="389"/>
      <c r="L67" s="389"/>
      <c r="M67" s="389"/>
      <c r="N67" s="389"/>
      <c r="O67" s="389"/>
      <c r="P67" s="389"/>
      <c r="Q67" s="389"/>
      <c r="R67" s="389"/>
      <c r="S67" s="389"/>
      <c r="T67" s="389"/>
      <c r="U67" s="389"/>
      <c r="V67" s="389"/>
      <c r="W67" s="389"/>
      <c r="X67" s="389"/>
      <c r="Y67" s="389"/>
      <c r="Z67" s="389"/>
      <c r="AA67" s="389"/>
      <c r="AB67" s="389"/>
      <c r="AC67" s="389"/>
      <c r="AD67" s="389"/>
      <c r="AE67" s="389"/>
      <c r="AF67" s="389"/>
      <c r="AG67" s="389"/>
      <c r="AH67" s="389"/>
      <c r="AI67" s="389"/>
      <c r="AJ67" s="389"/>
      <c r="AK67" s="425"/>
      <c r="AN67" s="426"/>
    </row>
    <row r="68" spans="1:41">
      <c r="A68" s="270"/>
      <c r="C68" s="382" t="s">
        <v>506</v>
      </c>
      <c r="D68" s="383"/>
      <c r="E68" s="384"/>
      <c r="F68" s="384"/>
      <c r="G68" s="384"/>
      <c r="H68" s="384"/>
      <c r="I68" s="384"/>
      <c r="J68" s="384"/>
      <c r="K68" s="384"/>
      <c r="L68" s="384"/>
      <c r="M68" s="384"/>
      <c r="N68" s="384"/>
      <c r="O68" s="384"/>
      <c r="P68" s="384"/>
      <c r="Q68" s="384"/>
      <c r="R68" s="384"/>
      <c r="S68" s="384"/>
      <c r="T68" s="384"/>
      <c r="U68" s="384"/>
      <c r="V68" s="384"/>
      <c r="W68" s="384"/>
      <c r="X68" s="384"/>
      <c r="Y68" s="384"/>
      <c r="Z68" s="384"/>
      <c r="AA68" s="384"/>
      <c r="AB68" s="384"/>
      <c r="AC68" s="384"/>
      <c r="AD68" s="384"/>
      <c r="AE68" s="384"/>
      <c r="AF68" s="384"/>
      <c r="AG68" s="384"/>
      <c r="AH68" s="384"/>
      <c r="AI68" s="384"/>
      <c r="AJ68" s="384"/>
      <c r="AK68" s="424"/>
      <c r="AN68" s="426"/>
      <c r="AO68" s="426"/>
    </row>
    <row r="69" spans="1:41">
      <c r="A69" s="270"/>
      <c r="C69" s="382"/>
      <c r="D69" s="383"/>
      <c r="E69" s="384"/>
      <c r="F69" s="384"/>
      <c r="G69" s="384"/>
      <c r="H69" s="384"/>
      <c r="I69" s="384"/>
      <c r="J69" s="384"/>
      <c r="K69" s="384"/>
      <c r="L69" s="384"/>
      <c r="M69" s="384"/>
      <c r="N69" s="384"/>
      <c r="O69" s="384"/>
      <c r="P69" s="384"/>
      <c r="Q69" s="384"/>
      <c r="R69" s="384"/>
      <c r="S69" s="384"/>
      <c r="T69" s="384"/>
      <c r="U69" s="384"/>
      <c r="V69" s="384"/>
      <c r="W69" s="384"/>
      <c r="X69" s="384"/>
      <c r="Y69" s="384"/>
      <c r="Z69" s="384"/>
      <c r="AA69" s="384"/>
      <c r="AB69" s="384"/>
      <c r="AC69" s="384"/>
      <c r="AD69" s="384"/>
      <c r="AE69" s="384"/>
      <c r="AF69" s="384"/>
      <c r="AG69" s="384"/>
      <c r="AH69" s="384"/>
      <c r="AI69" s="384"/>
      <c r="AJ69" s="384"/>
      <c r="AK69" s="424"/>
      <c r="AN69" s="426"/>
      <c r="AO69" s="426"/>
    </row>
    <row r="70" spans="1:41">
      <c r="A70" s="270"/>
      <c r="C70" s="382"/>
      <c r="D70" s="383"/>
      <c r="E70" s="384"/>
      <c r="F70" s="384"/>
      <c r="G70" s="384"/>
      <c r="H70" s="384"/>
      <c r="I70" s="384"/>
      <c r="J70" s="384"/>
      <c r="K70" s="384"/>
      <c r="L70" s="384"/>
      <c r="M70" s="384"/>
      <c r="N70" s="384"/>
      <c r="O70" s="384"/>
      <c r="P70" s="384"/>
      <c r="Q70" s="384"/>
      <c r="R70" s="384"/>
      <c r="S70" s="384"/>
      <c r="T70" s="384"/>
      <c r="U70" s="384"/>
      <c r="V70" s="384"/>
      <c r="W70" s="384"/>
      <c r="X70" s="384"/>
      <c r="Y70" s="384"/>
      <c r="Z70" s="384"/>
      <c r="AA70" s="384"/>
      <c r="AB70" s="384"/>
      <c r="AC70" s="384"/>
      <c r="AD70" s="384"/>
      <c r="AE70" s="384"/>
      <c r="AF70" s="384"/>
      <c r="AG70" s="384"/>
      <c r="AH70" s="384"/>
      <c r="AI70" s="384"/>
      <c r="AJ70" s="384"/>
      <c r="AK70" s="424"/>
      <c r="AN70" s="426"/>
      <c r="AO70" s="426"/>
    </row>
    <row r="71" spans="1:41">
      <c r="A71" s="270"/>
      <c r="C71" s="382"/>
      <c r="D71" s="383"/>
      <c r="E71" s="384"/>
      <c r="F71" s="384"/>
      <c r="G71" s="384"/>
      <c r="H71" s="384"/>
      <c r="I71" s="384"/>
      <c r="J71" s="384"/>
      <c r="K71" s="384"/>
      <c r="L71" s="384"/>
      <c r="M71" s="384"/>
      <c r="N71" s="384"/>
      <c r="O71" s="384"/>
      <c r="P71" s="384"/>
      <c r="Q71" s="384"/>
      <c r="R71" s="384"/>
      <c r="S71" s="384"/>
      <c r="T71" s="384"/>
      <c r="U71" s="384"/>
      <c r="V71" s="384"/>
      <c r="W71" s="384"/>
      <c r="X71" s="384"/>
      <c r="Y71" s="384"/>
      <c r="Z71" s="384"/>
      <c r="AA71" s="384"/>
      <c r="AB71" s="384"/>
      <c r="AC71" s="384"/>
      <c r="AD71" s="384"/>
      <c r="AE71" s="384"/>
      <c r="AF71" s="384"/>
      <c r="AG71" s="384"/>
      <c r="AH71" s="384"/>
      <c r="AI71" s="384"/>
      <c r="AJ71" s="384"/>
      <c r="AK71" s="424"/>
      <c r="AN71" s="426"/>
      <c r="AO71" s="426"/>
    </row>
    <row r="72" spans="1:41" ht="16.5" thickBot="1">
      <c r="A72" s="270"/>
      <c r="C72" s="385" t="s">
        <v>507</v>
      </c>
      <c r="D72" s="273">
        <v>0</v>
      </c>
      <c r="E72" s="274">
        <v>0</v>
      </c>
      <c r="F72" s="274">
        <v>0</v>
      </c>
      <c r="G72" s="274">
        <v>0</v>
      </c>
      <c r="H72" s="274">
        <v>0</v>
      </c>
      <c r="I72" s="274">
        <v>0</v>
      </c>
      <c r="J72" s="274">
        <v>0</v>
      </c>
      <c r="K72" s="274">
        <v>0</v>
      </c>
      <c r="L72" s="274">
        <v>0</v>
      </c>
      <c r="M72" s="274">
        <v>0</v>
      </c>
      <c r="N72" s="274">
        <v>0</v>
      </c>
      <c r="O72" s="274">
        <v>0</v>
      </c>
      <c r="P72" s="274">
        <v>0</v>
      </c>
      <c r="Q72" s="274">
        <v>0</v>
      </c>
      <c r="R72" s="274">
        <v>0</v>
      </c>
      <c r="S72" s="274">
        <v>0</v>
      </c>
      <c r="T72" s="274">
        <v>0</v>
      </c>
      <c r="U72" s="274">
        <v>0</v>
      </c>
      <c r="V72" s="274">
        <v>0</v>
      </c>
      <c r="W72" s="274">
        <v>0</v>
      </c>
      <c r="X72" s="274">
        <v>0</v>
      </c>
      <c r="Y72" s="274">
        <v>0</v>
      </c>
      <c r="Z72" s="274">
        <v>0</v>
      </c>
      <c r="AA72" s="274">
        <v>0</v>
      </c>
      <c r="AB72" s="274">
        <v>0</v>
      </c>
      <c r="AC72" s="274">
        <v>0</v>
      </c>
      <c r="AD72" s="274">
        <v>0</v>
      </c>
      <c r="AE72" s="274">
        <v>0</v>
      </c>
      <c r="AF72" s="274">
        <v>0</v>
      </c>
      <c r="AG72" s="274">
        <v>0</v>
      </c>
      <c r="AH72" s="274">
        <v>0</v>
      </c>
      <c r="AI72" s="274">
        <v>0</v>
      </c>
      <c r="AJ72" s="274">
        <v>0</v>
      </c>
      <c r="AK72" s="275"/>
    </row>
    <row r="73" spans="1:41" ht="3.75" customHeight="1">
      <c r="A73" s="270"/>
      <c r="D73" s="426"/>
      <c r="E73" s="426"/>
      <c r="F73" s="426"/>
      <c r="G73" s="426"/>
      <c r="H73" s="426"/>
      <c r="I73" s="426"/>
      <c r="J73" s="426"/>
      <c r="K73" s="426"/>
      <c r="L73" s="426"/>
      <c r="M73" s="426"/>
      <c r="N73" s="426"/>
      <c r="O73" s="426"/>
      <c r="P73" s="426"/>
      <c r="Q73" s="426"/>
      <c r="R73" s="426"/>
      <c r="S73" s="426"/>
      <c r="T73" s="426"/>
      <c r="U73" s="426"/>
      <c r="V73" s="426"/>
      <c r="W73" s="426"/>
      <c r="X73" s="426"/>
      <c r="Y73" s="426"/>
      <c r="Z73" s="426"/>
      <c r="AA73" s="426"/>
      <c r="AB73" s="426"/>
      <c r="AC73" s="426"/>
      <c r="AD73" s="426"/>
      <c r="AE73" s="426"/>
      <c r="AF73" s="426"/>
      <c r="AG73" s="426"/>
      <c r="AH73" s="426"/>
      <c r="AI73" s="426"/>
      <c r="AJ73" s="426"/>
    </row>
    <row r="74" spans="1:41">
      <c r="A74" s="270"/>
      <c r="C74" s="391" t="s">
        <v>508</v>
      </c>
      <c r="D74" s="392"/>
      <c r="E74" s="393"/>
      <c r="F74" s="393"/>
      <c r="G74" s="393"/>
      <c r="H74" s="393"/>
      <c r="I74" s="393"/>
      <c r="J74" s="393"/>
      <c r="K74" s="393"/>
      <c r="L74" s="393"/>
      <c r="M74" s="393"/>
      <c r="N74" s="393"/>
      <c r="O74" s="393"/>
      <c r="P74" s="393"/>
      <c r="Q74" s="393"/>
      <c r="R74" s="393"/>
      <c r="S74" s="393"/>
      <c r="T74" s="393"/>
      <c r="U74" s="393"/>
      <c r="V74" s="393"/>
      <c r="W74" s="393"/>
      <c r="X74" s="393"/>
      <c r="Y74" s="393"/>
      <c r="Z74" s="393"/>
      <c r="AA74" s="393"/>
      <c r="AB74" s="393"/>
      <c r="AC74" s="393"/>
      <c r="AD74" s="393"/>
      <c r="AE74" s="393"/>
      <c r="AF74" s="393"/>
      <c r="AG74" s="393"/>
      <c r="AH74" s="393"/>
      <c r="AI74" s="393"/>
      <c r="AJ74" s="393"/>
      <c r="AK74" s="425"/>
      <c r="AN74" s="426"/>
    </row>
    <row r="75" spans="1:41">
      <c r="A75" s="270"/>
      <c r="C75" s="382" t="s">
        <v>509</v>
      </c>
      <c r="D75" s="388"/>
      <c r="E75" s="389"/>
      <c r="F75" s="389"/>
      <c r="G75" s="389"/>
      <c r="H75" s="389"/>
      <c r="I75" s="389"/>
      <c r="J75" s="389"/>
      <c r="K75" s="389"/>
      <c r="L75" s="389"/>
      <c r="M75" s="389"/>
      <c r="N75" s="389"/>
      <c r="O75" s="389"/>
      <c r="P75" s="389"/>
      <c r="Q75" s="389"/>
      <c r="R75" s="389"/>
      <c r="S75" s="389"/>
      <c r="T75" s="389"/>
      <c r="U75" s="389"/>
      <c r="V75" s="389"/>
      <c r="W75" s="389"/>
      <c r="X75" s="389"/>
      <c r="Y75" s="389"/>
      <c r="Z75" s="389"/>
      <c r="AA75" s="389"/>
      <c r="AB75" s="389"/>
      <c r="AC75" s="389"/>
      <c r="AD75" s="389"/>
      <c r="AE75" s="389"/>
      <c r="AF75" s="389"/>
      <c r="AG75" s="389"/>
      <c r="AH75" s="389"/>
      <c r="AI75" s="389"/>
      <c r="AJ75" s="389"/>
      <c r="AK75" s="425"/>
      <c r="AN75" s="426"/>
    </row>
    <row r="76" spans="1:41">
      <c r="A76" s="270"/>
      <c r="C76" s="382" t="s">
        <v>510</v>
      </c>
      <c r="D76" s="388"/>
      <c r="E76" s="389"/>
      <c r="F76" s="389"/>
      <c r="G76" s="389"/>
      <c r="H76" s="389"/>
      <c r="I76" s="389"/>
      <c r="J76" s="389"/>
      <c r="K76" s="389"/>
      <c r="L76" s="389"/>
      <c r="M76" s="389"/>
      <c r="N76" s="389"/>
      <c r="O76" s="389"/>
      <c r="P76" s="389"/>
      <c r="Q76" s="389"/>
      <c r="R76" s="389"/>
      <c r="S76" s="389"/>
      <c r="T76" s="389"/>
      <c r="U76" s="389"/>
      <c r="V76" s="389"/>
      <c r="W76" s="389"/>
      <c r="X76" s="389"/>
      <c r="Y76" s="389"/>
      <c r="Z76" s="389"/>
      <c r="AA76" s="389"/>
      <c r="AB76" s="389"/>
      <c r="AC76" s="389"/>
      <c r="AD76" s="389"/>
      <c r="AE76" s="389"/>
      <c r="AF76" s="389"/>
      <c r="AG76" s="389"/>
      <c r="AH76" s="389"/>
      <c r="AI76" s="389"/>
      <c r="AJ76" s="389"/>
      <c r="AK76" s="425"/>
      <c r="AN76" s="426"/>
    </row>
    <row r="77" spans="1:41">
      <c r="A77" s="270"/>
      <c r="C77" s="382" t="s">
        <v>511</v>
      </c>
      <c r="D77" s="388"/>
      <c r="E77" s="389"/>
      <c r="F77" s="389"/>
      <c r="G77" s="389"/>
      <c r="H77" s="389"/>
      <c r="I77" s="389"/>
      <c r="J77" s="389"/>
      <c r="K77" s="389"/>
      <c r="L77" s="389"/>
      <c r="M77" s="389"/>
      <c r="N77" s="389"/>
      <c r="O77" s="389"/>
      <c r="P77" s="389"/>
      <c r="Q77" s="389"/>
      <c r="R77" s="389"/>
      <c r="S77" s="389"/>
      <c r="T77" s="389"/>
      <c r="U77" s="389"/>
      <c r="V77" s="389"/>
      <c r="W77" s="389"/>
      <c r="X77" s="389"/>
      <c r="Y77" s="389"/>
      <c r="Z77" s="389"/>
      <c r="AA77" s="389"/>
      <c r="AB77" s="389"/>
      <c r="AC77" s="389"/>
      <c r="AD77" s="389"/>
      <c r="AE77" s="389"/>
      <c r="AF77" s="389"/>
      <c r="AG77" s="389"/>
      <c r="AH77" s="389"/>
      <c r="AI77" s="389"/>
      <c r="AJ77" s="389"/>
      <c r="AK77" s="425"/>
      <c r="AN77" s="426"/>
    </row>
    <row r="78" spans="1:41">
      <c r="A78" s="270"/>
      <c r="C78" s="382" t="s">
        <v>512</v>
      </c>
      <c r="D78" s="388"/>
      <c r="E78" s="389"/>
      <c r="F78" s="389"/>
      <c r="G78" s="389"/>
      <c r="H78" s="389"/>
      <c r="I78" s="389"/>
      <c r="J78" s="389"/>
      <c r="K78" s="389"/>
      <c r="L78" s="389"/>
      <c r="M78" s="389"/>
      <c r="N78" s="389"/>
      <c r="O78" s="389"/>
      <c r="P78" s="389"/>
      <c r="Q78" s="389"/>
      <c r="R78" s="389"/>
      <c r="S78" s="389"/>
      <c r="T78" s="389"/>
      <c r="U78" s="389"/>
      <c r="V78" s="389"/>
      <c r="W78" s="389"/>
      <c r="X78" s="389"/>
      <c r="Y78" s="389"/>
      <c r="Z78" s="389"/>
      <c r="AA78" s="389"/>
      <c r="AB78" s="389"/>
      <c r="AC78" s="389"/>
      <c r="AD78" s="389"/>
      <c r="AE78" s="389"/>
      <c r="AF78" s="389"/>
      <c r="AG78" s="389"/>
      <c r="AH78" s="389"/>
      <c r="AI78" s="389"/>
      <c r="AJ78" s="389"/>
      <c r="AK78" s="425"/>
      <c r="AN78" s="426"/>
    </row>
    <row r="79" spans="1:41">
      <c r="A79" s="270"/>
      <c r="C79" s="382" t="s">
        <v>554</v>
      </c>
      <c r="D79" s="388"/>
      <c r="E79" s="389"/>
      <c r="F79" s="389"/>
      <c r="G79" s="389"/>
      <c r="H79" s="389"/>
      <c r="I79" s="389"/>
      <c r="J79" s="389"/>
      <c r="K79" s="389"/>
      <c r="L79" s="389"/>
      <c r="M79" s="389"/>
      <c r="N79" s="389"/>
      <c r="O79" s="389"/>
      <c r="P79" s="389"/>
      <c r="Q79" s="389"/>
      <c r="R79" s="389"/>
      <c r="S79" s="389"/>
      <c r="T79" s="389"/>
      <c r="U79" s="389"/>
      <c r="V79" s="389"/>
      <c r="W79" s="389"/>
      <c r="X79" s="389"/>
      <c r="Y79" s="389"/>
      <c r="Z79" s="389"/>
      <c r="AA79" s="389"/>
      <c r="AB79" s="389"/>
      <c r="AC79" s="389"/>
      <c r="AD79" s="389"/>
      <c r="AE79" s="389"/>
      <c r="AF79" s="389"/>
      <c r="AG79" s="389"/>
      <c r="AH79" s="389"/>
      <c r="AI79" s="389"/>
      <c r="AJ79" s="389"/>
      <c r="AK79" s="425"/>
      <c r="AN79" s="426"/>
    </row>
    <row r="80" spans="1:41">
      <c r="A80" s="270"/>
      <c r="C80" s="427" t="s">
        <v>513</v>
      </c>
      <c r="D80" s="428"/>
      <c r="E80" s="429"/>
      <c r="F80" s="429"/>
      <c r="G80" s="429"/>
      <c r="H80" s="429"/>
      <c r="I80" s="429"/>
      <c r="J80" s="429"/>
      <c r="K80" s="429"/>
      <c r="L80" s="429"/>
      <c r="M80" s="429"/>
      <c r="N80" s="429"/>
      <c r="O80" s="429"/>
      <c r="P80" s="429"/>
      <c r="Q80" s="429"/>
      <c r="R80" s="429"/>
      <c r="S80" s="429"/>
      <c r="T80" s="429"/>
      <c r="U80" s="429"/>
      <c r="V80" s="429"/>
      <c r="W80" s="429"/>
      <c r="X80" s="429"/>
      <c r="Y80" s="429"/>
      <c r="Z80" s="429"/>
      <c r="AA80" s="429"/>
      <c r="AB80" s="429"/>
      <c r="AC80" s="429"/>
      <c r="AD80" s="429"/>
      <c r="AE80" s="429"/>
      <c r="AF80" s="429"/>
      <c r="AG80" s="429"/>
      <c r="AH80" s="429"/>
      <c r="AI80" s="429"/>
      <c r="AJ80" s="429"/>
      <c r="AK80" s="424"/>
      <c r="AN80" s="426"/>
      <c r="AO80" s="426"/>
    </row>
    <row r="81" spans="1:36">
      <c r="A81" s="270"/>
      <c r="D81" s="426"/>
      <c r="E81" s="426"/>
      <c r="F81" s="426"/>
      <c r="G81" s="426"/>
      <c r="H81" s="426"/>
      <c r="I81" s="426"/>
      <c r="J81" s="426"/>
      <c r="K81" s="426"/>
      <c r="L81" s="426"/>
      <c r="M81" s="426"/>
      <c r="N81" s="426"/>
      <c r="O81" s="426"/>
      <c r="P81" s="426"/>
      <c r="Q81" s="426"/>
      <c r="R81" s="426"/>
      <c r="S81" s="426"/>
      <c r="T81" s="426"/>
      <c r="U81" s="426"/>
      <c r="V81" s="426"/>
      <c r="W81" s="426"/>
      <c r="X81" s="426"/>
      <c r="Y81" s="426"/>
      <c r="Z81" s="426"/>
      <c r="AA81" s="426"/>
      <c r="AB81" s="426"/>
      <c r="AC81" s="426"/>
      <c r="AD81" s="426"/>
      <c r="AE81" s="426"/>
      <c r="AF81" s="426"/>
      <c r="AG81" s="426"/>
      <c r="AH81" s="426"/>
      <c r="AI81" s="426"/>
      <c r="AJ81" s="426"/>
    </row>
    <row r="82" spans="1:36">
      <c r="A82" s="270"/>
      <c r="D82" s="426"/>
      <c r="E82" s="426"/>
      <c r="F82" s="426"/>
      <c r="G82" s="426"/>
      <c r="H82" s="426"/>
      <c r="I82" s="426"/>
      <c r="J82" s="426"/>
      <c r="K82" s="426"/>
      <c r="L82" s="426"/>
      <c r="M82" s="426"/>
      <c r="N82" s="426"/>
      <c r="O82" s="426"/>
      <c r="P82" s="426"/>
      <c r="Q82" s="426"/>
      <c r="R82" s="426"/>
      <c r="S82" s="426"/>
      <c r="T82" s="426"/>
      <c r="U82" s="426"/>
      <c r="V82" s="426"/>
      <c r="W82" s="426"/>
      <c r="X82" s="426"/>
      <c r="Y82" s="426"/>
      <c r="Z82" s="426"/>
      <c r="AA82" s="426"/>
      <c r="AB82" s="426"/>
      <c r="AC82" s="426"/>
      <c r="AD82" s="426"/>
      <c r="AE82" s="426"/>
      <c r="AF82" s="426"/>
      <c r="AG82" s="426"/>
      <c r="AH82" s="426"/>
      <c r="AI82" s="426"/>
      <c r="AJ82" s="426"/>
    </row>
    <row r="83" spans="1:36">
      <c r="A83" s="270"/>
      <c r="D83" s="426"/>
      <c r="E83" s="426"/>
      <c r="F83" s="426"/>
      <c r="G83" s="426"/>
      <c r="H83" s="426"/>
      <c r="I83" s="426"/>
      <c r="J83" s="426"/>
      <c r="K83" s="426"/>
      <c r="L83" s="426"/>
      <c r="M83" s="426"/>
      <c r="N83" s="426"/>
      <c r="O83" s="426"/>
      <c r="P83" s="426"/>
      <c r="Q83" s="426"/>
      <c r="R83" s="426"/>
      <c r="S83" s="426"/>
      <c r="T83" s="426"/>
      <c r="U83" s="426"/>
      <c r="V83" s="426"/>
      <c r="W83" s="426"/>
      <c r="X83" s="426"/>
      <c r="Y83" s="426"/>
      <c r="Z83" s="426"/>
      <c r="AA83" s="426"/>
      <c r="AB83" s="426"/>
      <c r="AC83" s="426"/>
      <c r="AD83" s="426"/>
      <c r="AE83" s="426"/>
      <c r="AF83" s="426"/>
      <c r="AG83" s="426"/>
      <c r="AH83" s="426"/>
      <c r="AI83" s="426"/>
      <c r="AJ83" s="426"/>
    </row>
    <row r="84" spans="1:36">
      <c r="A84" s="270"/>
      <c r="D84" s="426"/>
      <c r="E84" s="426"/>
      <c r="F84" s="426"/>
      <c r="G84" s="426"/>
      <c r="H84" s="426"/>
      <c r="I84" s="426"/>
      <c r="J84" s="426"/>
      <c r="K84" s="426"/>
      <c r="L84" s="426"/>
      <c r="M84" s="426"/>
      <c r="N84" s="426"/>
      <c r="O84" s="426"/>
      <c r="P84" s="426"/>
      <c r="Q84" s="426"/>
      <c r="R84" s="426"/>
      <c r="S84" s="426"/>
      <c r="T84" s="426"/>
      <c r="U84" s="426"/>
      <c r="V84" s="426"/>
      <c r="W84" s="426"/>
      <c r="X84" s="426"/>
      <c r="Y84" s="426"/>
      <c r="Z84" s="426"/>
      <c r="AA84" s="426"/>
      <c r="AB84" s="426"/>
      <c r="AC84" s="426"/>
      <c r="AD84" s="426"/>
      <c r="AE84" s="426"/>
      <c r="AF84" s="426"/>
      <c r="AG84" s="426"/>
      <c r="AH84" s="426"/>
      <c r="AI84" s="426"/>
      <c r="AJ84" s="426"/>
    </row>
    <row r="85" spans="1:36">
      <c r="A85" s="270"/>
      <c r="D85" s="426"/>
      <c r="E85" s="426"/>
      <c r="F85" s="426"/>
      <c r="G85" s="426"/>
      <c r="H85" s="426"/>
      <c r="I85" s="426"/>
      <c r="J85" s="426"/>
      <c r="K85" s="426"/>
      <c r="L85" s="426"/>
      <c r="M85" s="426"/>
      <c r="N85" s="426"/>
      <c r="O85" s="426"/>
      <c r="P85" s="426"/>
      <c r="Q85" s="426"/>
      <c r="R85" s="426"/>
      <c r="S85" s="426"/>
      <c r="T85" s="426"/>
      <c r="U85" s="426"/>
      <c r="V85" s="426"/>
      <c r="W85" s="426"/>
      <c r="X85" s="426"/>
      <c r="Y85" s="426"/>
      <c r="Z85" s="426"/>
      <c r="AA85" s="426"/>
      <c r="AB85" s="426"/>
      <c r="AC85" s="426"/>
      <c r="AD85" s="426"/>
      <c r="AE85" s="426"/>
      <c r="AF85" s="426"/>
      <c r="AG85" s="426"/>
      <c r="AH85" s="426"/>
      <c r="AI85" s="426"/>
      <c r="AJ85" s="426"/>
    </row>
    <row r="86" spans="1:36">
      <c r="A86" s="270"/>
      <c r="D86" s="426"/>
      <c r="E86" s="426"/>
      <c r="F86" s="426"/>
      <c r="G86" s="426"/>
      <c r="H86" s="426"/>
      <c r="I86" s="426"/>
      <c r="J86" s="426"/>
      <c r="K86" s="426"/>
      <c r="L86" s="426"/>
      <c r="M86" s="426"/>
      <c r="N86" s="426"/>
      <c r="O86" s="426"/>
      <c r="P86" s="426"/>
      <c r="Q86" s="426"/>
      <c r="R86" s="426"/>
      <c r="S86" s="426"/>
      <c r="T86" s="426"/>
      <c r="U86" s="426"/>
      <c r="V86" s="426"/>
      <c r="W86" s="426"/>
      <c r="X86" s="426"/>
      <c r="Y86" s="426"/>
      <c r="Z86" s="426"/>
      <c r="AA86" s="426"/>
      <c r="AB86" s="426"/>
      <c r="AC86" s="426"/>
      <c r="AD86" s="426"/>
      <c r="AE86" s="426"/>
      <c r="AF86" s="426"/>
      <c r="AG86" s="426"/>
      <c r="AH86" s="426"/>
      <c r="AI86" s="426"/>
      <c r="AJ86" s="426"/>
    </row>
    <row r="87" spans="1:36">
      <c r="A87" s="270"/>
      <c r="D87" s="426"/>
      <c r="E87" s="426"/>
      <c r="F87" s="426"/>
      <c r="G87" s="426"/>
      <c r="H87" s="426"/>
      <c r="I87" s="426"/>
      <c r="J87" s="426"/>
      <c r="K87" s="426"/>
      <c r="L87" s="426"/>
      <c r="M87" s="426"/>
      <c r="N87" s="426"/>
      <c r="O87" s="426"/>
      <c r="P87" s="426"/>
      <c r="Q87" s="426"/>
      <c r="R87" s="426"/>
      <c r="S87" s="426"/>
      <c r="T87" s="426"/>
      <c r="U87" s="426"/>
      <c r="V87" s="426"/>
      <c r="W87" s="426"/>
      <c r="X87" s="426"/>
      <c r="Y87" s="426"/>
      <c r="Z87" s="426"/>
      <c r="AA87" s="426"/>
      <c r="AB87" s="426"/>
      <c r="AC87" s="426"/>
      <c r="AD87" s="426"/>
      <c r="AE87" s="426"/>
      <c r="AF87" s="426"/>
      <c r="AG87" s="426"/>
      <c r="AH87" s="426"/>
      <c r="AI87" s="426"/>
      <c r="AJ87" s="426"/>
    </row>
    <row r="88" spans="1:36">
      <c r="A88" s="270"/>
      <c r="D88" s="426"/>
      <c r="E88" s="426"/>
      <c r="F88" s="426"/>
      <c r="G88" s="426"/>
      <c r="H88" s="426"/>
      <c r="I88" s="426"/>
      <c r="J88" s="426"/>
      <c r="K88" s="426"/>
      <c r="L88" s="426"/>
      <c r="M88" s="426"/>
      <c r="N88" s="426"/>
      <c r="O88" s="426"/>
      <c r="P88" s="426"/>
      <c r="Q88" s="426"/>
      <c r="R88" s="426"/>
      <c r="S88" s="426"/>
      <c r="T88" s="426"/>
      <c r="U88" s="426"/>
      <c r="V88" s="426"/>
      <c r="W88" s="426"/>
      <c r="X88" s="426"/>
      <c r="Y88" s="426"/>
      <c r="Z88" s="426"/>
      <c r="AA88" s="426"/>
      <c r="AB88" s="426"/>
      <c r="AC88" s="426"/>
      <c r="AD88" s="426"/>
      <c r="AE88" s="426"/>
      <c r="AF88" s="426"/>
      <c r="AG88" s="426"/>
      <c r="AH88" s="426"/>
      <c r="AI88" s="426"/>
      <c r="AJ88" s="426"/>
    </row>
    <row r="89" spans="1:36" s="270" customFormat="1">
      <c r="D89" s="430"/>
      <c r="E89" s="430"/>
      <c r="F89" s="430"/>
      <c r="G89" s="430"/>
      <c r="H89" s="430"/>
      <c r="I89" s="430"/>
      <c r="J89" s="430"/>
      <c r="K89" s="430"/>
      <c r="L89" s="430"/>
      <c r="M89" s="430"/>
      <c r="N89" s="430"/>
      <c r="O89" s="430"/>
      <c r="P89" s="430"/>
      <c r="Q89" s="430"/>
      <c r="R89" s="430"/>
      <c r="S89" s="430"/>
      <c r="T89" s="430"/>
      <c r="U89" s="430"/>
      <c r="V89" s="430"/>
      <c r="W89" s="430"/>
      <c r="X89" s="430"/>
      <c r="Y89" s="430"/>
      <c r="Z89" s="430"/>
      <c r="AA89" s="430"/>
      <c r="AB89" s="430"/>
      <c r="AC89" s="430"/>
      <c r="AD89" s="430"/>
      <c r="AE89" s="430"/>
      <c r="AF89" s="430"/>
      <c r="AG89" s="430"/>
      <c r="AH89" s="430"/>
      <c r="AI89" s="430"/>
      <c r="AJ89" s="430"/>
    </row>
    <row r="90" spans="1:36">
      <c r="D90" s="426"/>
      <c r="E90" s="426"/>
      <c r="F90" s="426"/>
      <c r="G90" s="426"/>
      <c r="H90" s="426"/>
      <c r="I90" s="426"/>
      <c r="J90" s="426"/>
      <c r="K90" s="426"/>
      <c r="L90" s="426"/>
      <c r="M90" s="426"/>
      <c r="N90" s="426"/>
      <c r="O90" s="426"/>
      <c r="P90" s="426"/>
      <c r="Q90" s="426"/>
      <c r="R90" s="426"/>
      <c r="S90" s="426"/>
      <c r="T90" s="426"/>
      <c r="U90" s="426"/>
      <c r="V90" s="426"/>
      <c r="W90" s="426"/>
      <c r="X90" s="426"/>
      <c r="Y90" s="426"/>
      <c r="Z90" s="426"/>
      <c r="AA90" s="426"/>
      <c r="AB90" s="426"/>
      <c r="AC90" s="426"/>
      <c r="AD90" s="426"/>
      <c r="AE90" s="426"/>
      <c r="AF90" s="426"/>
      <c r="AG90" s="426"/>
      <c r="AH90" s="426"/>
      <c r="AI90" s="426"/>
      <c r="AJ90" s="426"/>
    </row>
    <row r="91" spans="1:36">
      <c r="D91" s="426"/>
      <c r="E91" s="426"/>
      <c r="F91" s="426"/>
      <c r="G91" s="426"/>
      <c r="H91" s="426"/>
      <c r="I91" s="426"/>
      <c r="J91" s="426"/>
      <c r="K91" s="426"/>
      <c r="L91" s="426"/>
      <c r="M91" s="426"/>
      <c r="N91" s="426"/>
      <c r="O91" s="426"/>
      <c r="P91" s="426"/>
      <c r="Q91" s="426"/>
      <c r="R91" s="426"/>
      <c r="S91" s="426"/>
      <c r="T91" s="426"/>
      <c r="U91" s="426"/>
      <c r="V91" s="426"/>
      <c r="W91" s="426"/>
      <c r="X91" s="426"/>
      <c r="Y91" s="426"/>
      <c r="Z91" s="426"/>
      <c r="AA91" s="426"/>
      <c r="AB91" s="426"/>
      <c r="AC91" s="426"/>
      <c r="AD91" s="426"/>
      <c r="AE91" s="426"/>
      <c r="AF91" s="426"/>
      <c r="AG91" s="426"/>
      <c r="AH91" s="426"/>
      <c r="AI91" s="426"/>
      <c r="AJ91" s="426"/>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D4644-9BCE-4471-9237-AFEF9D40186B}">
  <sheetPr>
    <tabColor theme="3" tint="-0.249977111117893"/>
  </sheetPr>
  <dimension ref="A1:AN231"/>
  <sheetViews>
    <sheetView workbookViewId="0"/>
  </sheetViews>
  <sheetFormatPr defaultColWidth="6.88671875" defaultRowHeight="13.5" outlineLevelRow="1"/>
  <cols>
    <col min="1" max="1" width="1.6640625" style="31" customWidth="1"/>
    <col min="2" max="4" width="1.6640625" style="18" customWidth="1"/>
    <col min="5" max="5" width="39.44140625" style="18" customWidth="1"/>
    <col min="6" max="38" width="9.88671875" style="18" customWidth="1"/>
    <col min="39" max="39" width="1.6640625" style="18" customWidth="1"/>
    <col min="40" max="40" width="1.6640625" style="31" customWidth="1"/>
    <col min="41" max="16384" width="6.88671875" style="18"/>
  </cols>
  <sheetData>
    <row r="1" spans="2:38" s="31" customFormat="1"/>
    <row r="2" spans="2:38" ht="51" customHeight="1">
      <c r="B2" s="32"/>
      <c r="C2" s="33" t="s">
        <v>540</v>
      </c>
      <c r="E2" s="34"/>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row>
    <row r="3" spans="2:38">
      <c r="E3" s="404" t="s">
        <v>201</v>
      </c>
      <c r="F3" s="405" t="s">
        <v>541</v>
      </c>
      <c r="G3" s="37"/>
      <c r="H3" s="82"/>
      <c r="I3" s="37"/>
      <c r="J3" s="37"/>
      <c r="K3" s="37"/>
      <c r="L3" s="37"/>
      <c r="M3" s="38"/>
      <c r="N3" s="38"/>
      <c r="O3" s="38"/>
      <c r="P3" s="38"/>
      <c r="Q3" s="38"/>
      <c r="R3" s="38"/>
      <c r="S3" s="38"/>
      <c r="T3" s="38"/>
      <c r="U3" s="38"/>
      <c r="V3" s="38"/>
      <c r="W3" s="38"/>
    </row>
    <row r="4" spans="2:38">
      <c r="E4" s="404" t="s">
        <v>542</v>
      </c>
      <c r="F4" s="405" t="s">
        <v>398</v>
      </c>
      <c r="G4" s="37"/>
      <c r="I4" s="37"/>
      <c r="J4" s="37"/>
      <c r="K4" s="37"/>
      <c r="L4" s="37"/>
      <c r="M4" s="38"/>
      <c r="N4" s="38"/>
      <c r="O4" s="38"/>
      <c r="P4" s="38"/>
      <c r="Q4" s="38"/>
      <c r="R4" s="38"/>
      <c r="S4" s="38"/>
      <c r="T4" s="38"/>
      <c r="U4" s="38"/>
      <c r="V4" s="38"/>
      <c r="W4" s="38"/>
    </row>
    <row r="5" spans="2:38">
      <c r="E5" s="404" t="s">
        <v>543</v>
      </c>
      <c r="F5" s="406">
        <v>239883.94367329116</v>
      </c>
      <c r="G5" s="37"/>
      <c r="I5" s="37"/>
      <c r="J5" s="37"/>
      <c r="K5" s="37"/>
      <c r="L5" s="39"/>
      <c r="M5" s="38"/>
      <c r="N5" s="38"/>
      <c r="O5" s="38"/>
      <c r="P5" s="38"/>
      <c r="Q5" s="38"/>
      <c r="R5" s="38"/>
      <c r="S5" s="38"/>
      <c r="T5" s="38"/>
      <c r="U5" s="38"/>
      <c r="V5" s="38"/>
      <c r="W5" s="38"/>
    </row>
    <row r="6" spans="2:38">
      <c r="E6" s="407" t="s">
        <v>687</v>
      </c>
      <c r="F6" s="408">
        <v>0.34967233412408127</v>
      </c>
      <c r="G6" s="37"/>
      <c r="I6" s="37"/>
      <c r="J6" s="41"/>
      <c r="K6" s="37"/>
      <c r="L6" s="37"/>
      <c r="M6" s="37"/>
      <c r="N6" s="37"/>
      <c r="O6" s="37"/>
      <c r="P6" s="37"/>
      <c r="Q6" s="38"/>
      <c r="R6" s="38"/>
      <c r="S6" s="38"/>
      <c r="T6" s="38"/>
      <c r="U6" s="38"/>
      <c r="V6" s="38"/>
      <c r="W6" s="38"/>
    </row>
    <row r="7" spans="2:38">
      <c r="E7" s="407" t="s">
        <v>688</v>
      </c>
      <c r="F7" s="408">
        <v>0.33753374703764005</v>
      </c>
      <c r="G7" s="37"/>
      <c r="I7" s="37"/>
      <c r="J7" s="41"/>
      <c r="K7" s="37"/>
      <c r="L7" s="37"/>
      <c r="M7" s="37"/>
      <c r="N7" s="37"/>
      <c r="O7" s="37"/>
      <c r="P7" s="37"/>
      <c r="Q7" s="38"/>
      <c r="R7" s="38"/>
      <c r="S7" s="38"/>
      <c r="T7" s="38"/>
      <c r="U7" s="38"/>
      <c r="V7" s="38"/>
      <c r="W7" s="38"/>
    </row>
    <row r="8" spans="2:38">
      <c r="E8" s="404" t="s">
        <v>544</v>
      </c>
      <c r="F8" s="409">
        <v>2.8333131139392504</v>
      </c>
      <c r="G8" s="37"/>
      <c r="I8" s="37"/>
      <c r="J8" s="40"/>
      <c r="K8" s="37"/>
      <c r="L8" s="37"/>
      <c r="M8" s="37"/>
      <c r="N8" s="37"/>
      <c r="O8" s="37"/>
      <c r="P8" s="37"/>
      <c r="Q8" s="38"/>
      <c r="R8" s="38"/>
      <c r="S8" s="38"/>
      <c r="T8" s="38"/>
      <c r="U8" s="38"/>
      <c r="V8" s="38"/>
      <c r="W8" s="38"/>
    </row>
    <row r="9" spans="2:38">
      <c r="E9" s="404" t="s">
        <v>545</v>
      </c>
      <c r="F9" s="410">
        <v>0.56399227851259071</v>
      </c>
      <c r="G9" s="41">
        <v>10</v>
      </c>
      <c r="I9" s="41"/>
      <c r="J9" s="301"/>
      <c r="K9" s="301"/>
      <c r="L9" s="301"/>
      <c r="M9" s="301"/>
      <c r="N9" s="301"/>
      <c r="O9" s="301"/>
      <c r="P9" s="301"/>
      <c r="Q9" s="301"/>
      <c r="R9" s="301"/>
      <c r="S9" s="301"/>
      <c r="T9" s="301"/>
      <c r="U9" s="301"/>
      <c r="V9" s="301"/>
      <c r="W9" s="301"/>
    </row>
    <row r="10" spans="2:38" ht="3.75" customHeight="1">
      <c r="E10" s="36"/>
      <c r="F10" s="37"/>
      <c r="G10" s="302"/>
      <c r="H10" s="302"/>
      <c r="I10" s="302"/>
      <c r="J10" s="302"/>
      <c r="K10" s="302"/>
      <c r="L10" s="302"/>
      <c r="M10" s="302"/>
      <c r="N10" s="302"/>
      <c r="O10" s="302"/>
      <c r="P10" s="302"/>
      <c r="Q10" s="302"/>
      <c r="R10" s="302"/>
      <c r="S10" s="302"/>
      <c r="T10" s="302"/>
      <c r="U10" s="302"/>
      <c r="V10" s="302"/>
      <c r="W10" s="302"/>
      <c r="X10" s="302"/>
      <c r="Y10" s="302"/>
      <c r="Z10" s="302"/>
      <c r="AA10" s="302"/>
      <c r="AB10" s="302"/>
      <c r="AC10" s="302"/>
      <c r="AD10" s="302"/>
      <c r="AE10" s="302"/>
      <c r="AF10" s="302"/>
      <c r="AG10" s="302"/>
      <c r="AH10" s="302"/>
      <c r="AI10" s="302"/>
      <c r="AJ10" s="302"/>
      <c r="AK10" s="302"/>
      <c r="AL10" s="302"/>
    </row>
    <row r="11" spans="2:38" outlineLevel="1">
      <c r="E11" s="42" t="s">
        <v>399</v>
      </c>
      <c r="F11" s="303"/>
      <c r="G11" s="304">
        <v>0</v>
      </c>
      <c r="H11" s="304">
        <v>0</v>
      </c>
      <c r="I11" s="304">
        <v>0</v>
      </c>
      <c r="J11" s="304">
        <v>0</v>
      </c>
      <c r="K11" s="304">
        <v>0</v>
      </c>
      <c r="L11" s="304">
        <v>0</v>
      </c>
      <c r="M11" s="304">
        <v>0</v>
      </c>
      <c r="N11" s="304">
        <v>0</v>
      </c>
      <c r="O11" s="304">
        <v>0</v>
      </c>
      <c r="P11" s="304">
        <v>0</v>
      </c>
      <c r="Q11" s="304">
        <v>0</v>
      </c>
      <c r="R11" s="304">
        <v>0</v>
      </c>
      <c r="S11" s="304">
        <v>0</v>
      </c>
      <c r="T11" s="304">
        <v>0</v>
      </c>
      <c r="U11" s="304">
        <v>0</v>
      </c>
      <c r="V11" s="304">
        <v>0</v>
      </c>
      <c r="W11" s="304">
        <v>0</v>
      </c>
      <c r="X11" s="304">
        <v>0</v>
      </c>
      <c r="Y11" s="304">
        <v>0</v>
      </c>
      <c r="Z11" s="304">
        <v>0</v>
      </c>
      <c r="AA11" s="304">
        <v>0</v>
      </c>
      <c r="AB11" s="304">
        <v>0</v>
      </c>
      <c r="AC11" s="304">
        <v>0</v>
      </c>
      <c r="AD11" s="304">
        <v>0</v>
      </c>
      <c r="AE11" s="304">
        <v>0</v>
      </c>
      <c r="AF11" s="304">
        <v>0</v>
      </c>
      <c r="AG11" s="304">
        <v>0</v>
      </c>
      <c r="AH11" s="304">
        <v>0</v>
      </c>
      <c r="AI11" s="304">
        <v>0</v>
      </c>
      <c r="AJ11" s="304">
        <v>0</v>
      </c>
      <c r="AK11" s="304">
        <v>0</v>
      </c>
      <c r="AL11" s="304">
        <v>0</v>
      </c>
    </row>
    <row r="12" spans="2:38" outlineLevel="1">
      <c r="E12" s="43" t="s">
        <v>400</v>
      </c>
      <c r="F12" s="305"/>
      <c r="G12" s="306">
        <v>0</v>
      </c>
      <c r="H12" s="306">
        <v>0</v>
      </c>
      <c r="I12" s="306">
        <v>0</v>
      </c>
      <c r="J12" s="306">
        <v>0</v>
      </c>
      <c r="K12" s="306">
        <v>0</v>
      </c>
      <c r="L12" s="306">
        <v>0</v>
      </c>
      <c r="M12" s="306">
        <v>0</v>
      </c>
      <c r="N12" s="306">
        <v>0</v>
      </c>
      <c r="O12" s="306">
        <v>0</v>
      </c>
      <c r="P12" s="306">
        <v>0</v>
      </c>
      <c r="Q12" s="306">
        <v>0</v>
      </c>
      <c r="R12" s="306">
        <v>0</v>
      </c>
      <c r="S12" s="306">
        <v>0</v>
      </c>
      <c r="T12" s="306">
        <v>0</v>
      </c>
      <c r="U12" s="306">
        <v>0</v>
      </c>
      <c r="V12" s="306">
        <v>0</v>
      </c>
      <c r="W12" s="306">
        <v>0</v>
      </c>
      <c r="X12" s="306">
        <v>0</v>
      </c>
      <c r="Y12" s="306">
        <v>0</v>
      </c>
      <c r="Z12" s="306">
        <v>0</v>
      </c>
      <c r="AA12" s="306">
        <v>0</v>
      </c>
      <c r="AB12" s="306">
        <v>0</v>
      </c>
      <c r="AC12" s="306">
        <v>0</v>
      </c>
      <c r="AD12" s="306">
        <v>0</v>
      </c>
      <c r="AE12" s="306">
        <v>0</v>
      </c>
      <c r="AF12" s="306">
        <v>0</v>
      </c>
      <c r="AG12" s="306">
        <v>0</v>
      </c>
      <c r="AH12" s="306">
        <v>0</v>
      </c>
      <c r="AI12" s="306">
        <v>0</v>
      </c>
      <c r="AJ12" s="306">
        <v>0</v>
      </c>
      <c r="AK12" s="306">
        <v>0</v>
      </c>
      <c r="AL12" s="306">
        <v>0</v>
      </c>
    </row>
    <row r="13" spans="2:38" outlineLevel="1">
      <c r="E13" s="44" t="s">
        <v>401</v>
      </c>
      <c r="F13" s="307"/>
      <c r="G13" s="308">
        <v>0</v>
      </c>
      <c r="H13" s="308">
        <v>0</v>
      </c>
      <c r="I13" s="308">
        <v>0</v>
      </c>
      <c r="J13" s="308">
        <v>0</v>
      </c>
      <c r="K13" s="308">
        <v>0</v>
      </c>
      <c r="L13" s="308">
        <v>0</v>
      </c>
      <c r="M13" s="308">
        <v>0</v>
      </c>
      <c r="N13" s="308">
        <v>0</v>
      </c>
      <c r="O13" s="308">
        <v>0</v>
      </c>
      <c r="P13" s="308">
        <v>0</v>
      </c>
      <c r="Q13" s="308">
        <v>0</v>
      </c>
      <c r="R13" s="308">
        <v>0</v>
      </c>
      <c r="S13" s="308">
        <v>0</v>
      </c>
      <c r="T13" s="308">
        <v>0</v>
      </c>
      <c r="U13" s="308">
        <v>0</v>
      </c>
      <c r="V13" s="308">
        <v>0</v>
      </c>
      <c r="W13" s="308">
        <v>0</v>
      </c>
      <c r="X13" s="308">
        <v>0</v>
      </c>
      <c r="Y13" s="308">
        <v>0</v>
      </c>
      <c r="Z13" s="308">
        <v>0</v>
      </c>
      <c r="AA13" s="308">
        <v>0</v>
      </c>
      <c r="AB13" s="308">
        <v>0</v>
      </c>
      <c r="AC13" s="308">
        <v>0</v>
      </c>
      <c r="AD13" s="308">
        <v>0</v>
      </c>
      <c r="AE13" s="308">
        <v>0</v>
      </c>
      <c r="AF13" s="308">
        <v>0</v>
      </c>
      <c r="AG13" s="308">
        <v>0</v>
      </c>
      <c r="AH13" s="308">
        <v>0</v>
      </c>
      <c r="AI13" s="308">
        <v>0</v>
      </c>
      <c r="AJ13" s="308">
        <v>0</v>
      </c>
      <c r="AK13" s="308">
        <v>0</v>
      </c>
      <c r="AL13" s="308">
        <v>0</v>
      </c>
    </row>
    <row r="14" spans="2:38" ht="3.75" customHeight="1" outlineLevel="1">
      <c r="E14" s="36"/>
      <c r="F14" s="37"/>
      <c r="G14" s="302"/>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row>
    <row r="15" spans="2:38" outlineLevel="1">
      <c r="E15" s="42" t="s">
        <v>402</v>
      </c>
      <c r="F15" s="303"/>
      <c r="G15" s="304">
        <v>0</v>
      </c>
      <c r="H15" s="304">
        <v>0</v>
      </c>
      <c r="I15" s="304">
        <v>6.3472179408190028</v>
      </c>
      <c r="J15" s="304">
        <v>6.1378199307518679</v>
      </c>
      <c r="K15" s="304">
        <v>6.0505132508436823</v>
      </c>
      <c r="L15" s="304">
        <v>5.9619189486877646</v>
      </c>
      <c r="M15" s="304">
        <v>5.8720186763826199</v>
      </c>
      <c r="N15" s="304">
        <v>5.7807938427676726</v>
      </c>
      <c r="O15" s="304">
        <v>5.6882256107432756</v>
      </c>
      <c r="P15" s="304">
        <v>5.594294894579023</v>
      </c>
      <c r="Q15" s="304">
        <v>5.4989823572110259</v>
      </c>
      <c r="R15" s="304">
        <v>5.4022684075288474</v>
      </c>
      <c r="S15" s="304">
        <v>5.3041331976528117</v>
      </c>
      <c r="T15" s="304">
        <v>5.2045566202024585</v>
      </c>
      <c r="U15" s="304">
        <v>5.1035183055569382</v>
      </c>
      <c r="V15" s="304">
        <v>5.0009976191082064</v>
      </c>
      <c r="W15" s="304">
        <v>4.8969736585078527</v>
      </c>
      <c r="X15" s="304">
        <v>4.7914252509085689</v>
      </c>
      <c r="Y15" s="304">
        <v>4.6843309502010957</v>
      </c>
      <c r="Z15" s="304">
        <v>4.5756690342478317</v>
      </c>
      <c r="AA15" s="304">
        <v>4.465417502113981</v>
      </c>
      <c r="AB15" s="304">
        <v>4.3535540712974923</v>
      </c>
      <c r="AC15" s="304">
        <v>4.2400561749588546</v>
      </c>
      <c r="AD15" s="304">
        <v>4.1249009591520123</v>
      </c>
      <c r="AE15" s="304">
        <v>4.0080652800576297</v>
      </c>
      <c r="AF15" s="304">
        <v>3.8895257012200357</v>
      </c>
      <c r="AG15" s="304">
        <v>3.7692584907892259</v>
      </c>
      <c r="AH15" s="304">
        <v>3.647239618769353</v>
      </c>
      <c r="AI15" s="304">
        <v>3.5234447542751992</v>
      </c>
      <c r="AJ15" s="304">
        <v>3.3978492627981929</v>
      </c>
      <c r="AK15" s="304">
        <v>3.2704282034835925</v>
      </c>
      <c r="AL15" s="304">
        <v>3.1411563264205333</v>
      </c>
    </row>
    <row r="16" spans="2:38" outlineLevel="1">
      <c r="E16" s="43" t="s">
        <v>403</v>
      </c>
      <c r="F16" s="305"/>
      <c r="G16" s="306">
        <v>0</v>
      </c>
      <c r="H16" s="306">
        <v>0</v>
      </c>
      <c r="I16" s="306">
        <v>2.4732272983297698</v>
      </c>
      <c r="J16" s="306">
        <v>0.89159844104787989</v>
      </c>
      <c r="K16" s="306">
        <v>0.9183463942793163</v>
      </c>
      <c r="L16" s="306">
        <v>0.94589678610769579</v>
      </c>
      <c r="M16" s="306">
        <v>0.97427368969092709</v>
      </c>
      <c r="N16" s="306">
        <v>1.0035019003816548</v>
      </c>
      <c r="O16" s="306">
        <v>1.0336069573931046</v>
      </c>
      <c r="P16" s="306">
        <v>1.0646151661148977</v>
      </c>
      <c r="Q16" s="306">
        <v>1.0965536210983446</v>
      </c>
      <c r="R16" s="306">
        <v>1.1294502297312952</v>
      </c>
      <c r="S16" s="306">
        <v>1.1633337366232339</v>
      </c>
      <c r="T16" s="306">
        <v>1.1982337487219323</v>
      </c>
      <c r="U16" s="306">
        <v>1.2341807611835891</v>
      </c>
      <c r="V16" s="306">
        <v>1.2712061840190982</v>
      </c>
      <c r="W16" s="306">
        <v>1.3093423695396686</v>
      </c>
      <c r="X16" s="306">
        <v>1.3486226406258612</v>
      </c>
      <c r="Y16" s="306">
        <v>1.3890813198446357</v>
      </c>
      <c r="Z16" s="306">
        <v>1.4307537594399748</v>
      </c>
      <c r="AA16" s="306">
        <v>1.4736763722231743</v>
      </c>
      <c r="AB16" s="306">
        <v>1.5178866633898696</v>
      </c>
      <c r="AC16" s="306">
        <v>1.5634232632915657</v>
      </c>
      <c r="AD16" s="306">
        <v>1.6103259611903125</v>
      </c>
      <c r="AE16" s="306">
        <v>1.6586357400260221</v>
      </c>
      <c r="AF16" s="306">
        <v>1.7083948122268027</v>
      </c>
      <c r="AG16" s="306">
        <v>1.7596466565936066</v>
      </c>
      <c r="AH16" s="306">
        <v>1.8124360562914148</v>
      </c>
      <c r="AI16" s="306">
        <v>1.8668091379801575</v>
      </c>
      <c r="AJ16" s="306">
        <v>1.9228134121195621</v>
      </c>
      <c r="AK16" s="306">
        <v>1.9804978144831489</v>
      </c>
      <c r="AL16" s="306">
        <v>2.0399127489176436</v>
      </c>
    </row>
    <row r="17" spans="1:40" outlineLevel="1">
      <c r="E17" s="44" t="s">
        <v>404</v>
      </c>
      <c r="F17" s="307"/>
      <c r="G17" s="308"/>
      <c r="H17" s="308"/>
      <c r="I17" s="308">
        <v>8.8204452391487731</v>
      </c>
      <c r="J17" s="308">
        <v>7.029418371799748</v>
      </c>
      <c r="K17" s="308">
        <v>6.9688596451229987</v>
      </c>
      <c r="L17" s="308">
        <v>6.9078157347954603</v>
      </c>
      <c r="M17" s="308">
        <v>6.8462923660735466</v>
      </c>
      <c r="N17" s="308">
        <v>6.7842957431493272</v>
      </c>
      <c r="O17" s="308">
        <v>6.7218325681363797</v>
      </c>
      <c r="P17" s="308">
        <v>6.6589100606939207</v>
      </c>
      <c r="Q17" s="308">
        <v>6.5955359783093703</v>
      </c>
      <c r="R17" s="308">
        <v>6.531718637260143</v>
      </c>
      <c r="S17" s="308">
        <v>6.4674669342760458</v>
      </c>
      <c r="T17" s="308">
        <v>6.402790368924391</v>
      </c>
      <c r="U17" s="308">
        <v>6.3376990667405275</v>
      </c>
      <c r="V17" s="308">
        <v>6.2722038031273044</v>
      </c>
      <c r="W17" s="308">
        <v>6.2063160280475209</v>
      </c>
      <c r="X17" s="308">
        <v>6.1400478915344303</v>
      </c>
      <c r="Y17" s="308">
        <v>6.0734122700457309</v>
      </c>
      <c r="Z17" s="308">
        <v>6.0064227936878067</v>
      </c>
      <c r="AA17" s="308">
        <v>5.9390938743371553</v>
      </c>
      <c r="AB17" s="308">
        <v>5.8714407346873614</v>
      </c>
      <c r="AC17" s="308">
        <v>5.8034794382504202</v>
      </c>
      <c r="AD17" s="308">
        <v>5.735226920342325</v>
      </c>
      <c r="AE17" s="308">
        <v>5.6667010200836518</v>
      </c>
      <c r="AF17" s="308">
        <v>5.5979205134468382</v>
      </c>
      <c r="AG17" s="308">
        <v>5.528905147382833</v>
      </c>
      <c r="AH17" s="308">
        <v>5.459675675060768</v>
      </c>
      <c r="AI17" s="308">
        <v>5.3902538922553571</v>
      </c>
      <c r="AJ17" s="308">
        <v>5.320662674917755</v>
      </c>
      <c r="AK17" s="308">
        <v>5.2509260179667416</v>
      </c>
      <c r="AL17" s="308">
        <v>5.1810690753381774</v>
      </c>
    </row>
    <row r="18" spans="1:40" ht="3.75" customHeight="1" outlineLevel="1">
      <c r="E18" s="36"/>
      <c r="F18" s="37"/>
      <c r="G18" s="302"/>
      <c r="H18" s="302"/>
      <c r="I18" s="302"/>
      <c r="J18" s="302"/>
      <c r="K18" s="302"/>
      <c r="L18" s="302"/>
      <c r="M18" s="302"/>
      <c r="N18" s="302"/>
      <c r="O18" s="302"/>
      <c r="P18" s="302"/>
      <c r="Q18" s="302"/>
      <c r="R18" s="302"/>
      <c r="S18" s="302"/>
      <c r="T18" s="302"/>
      <c r="U18" s="302"/>
      <c r="V18" s="302"/>
      <c r="W18" s="302"/>
      <c r="X18" s="302"/>
      <c r="Y18" s="302"/>
      <c r="Z18" s="302"/>
      <c r="AA18" s="302"/>
      <c r="AB18" s="302"/>
      <c r="AC18" s="302"/>
      <c r="AD18" s="302"/>
      <c r="AE18" s="302"/>
      <c r="AF18" s="302"/>
      <c r="AG18" s="302"/>
      <c r="AH18" s="302"/>
      <c r="AI18" s="302"/>
      <c r="AJ18" s="302"/>
      <c r="AK18" s="302"/>
      <c r="AL18" s="302"/>
    </row>
    <row r="19" spans="1:40" s="46" customFormat="1" outlineLevel="1">
      <c r="A19" s="45"/>
      <c r="E19" s="47" t="s">
        <v>202</v>
      </c>
      <c r="F19" s="309">
        <v>-2</v>
      </c>
      <c r="G19" s="309">
        <v>-1</v>
      </c>
      <c r="H19" s="309">
        <v>0</v>
      </c>
      <c r="I19" s="309">
        <v>1</v>
      </c>
      <c r="J19" s="309">
        <v>2</v>
      </c>
      <c r="K19" s="309">
        <v>3</v>
      </c>
      <c r="L19" s="309">
        <v>4</v>
      </c>
      <c r="M19" s="309">
        <v>5</v>
      </c>
      <c r="N19" s="309">
        <v>6</v>
      </c>
      <c r="O19" s="309">
        <v>7</v>
      </c>
      <c r="P19" s="309">
        <v>8</v>
      </c>
      <c r="Q19" s="309">
        <v>9</v>
      </c>
      <c r="R19" s="309">
        <v>10</v>
      </c>
      <c r="S19" s="309">
        <v>11</v>
      </c>
      <c r="T19" s="309">
        <v>12</v>
      </c>
      <c r="U19" s="309">
        <v>13</v>
      </c>
      <c r="V19" s="309">
        <v>14</v>
      </c>
      <c r="W19" s="309">
        <v>15</v>
      </c>
      <c r="X19" s="309">
        <v>16</v>
      </c>
      <c r="Y19" s="309">
        <v>17</v>
      </c>
      <c r="Z19" s="309">
        <v>18</v>
      </c>
      <c r="AA19" s="309">
        <v>19</v>
      </c>
      <c r="AB19" s="309">
        <v>20</v>
      </c>
      <c r="AC19" s="309">
        <v>21</v>
      </c>
      <c r="AD19" s="309">
        <v>22</v>
      </c>
      <c r="AE19" s="309">
        <v>23</v>
      </c>
      <c r="AF19" s="309">
        <v>24</v>
      </c>
      <c r="AG19" s="309">
        <v>25</v>
      </c>
      <c r="AH19" s="309">
        <v>26</v>
      </c>
      <c r="AI19" s="309">
        <v>27</v>
      </c>
      <c r="AJ19" s="309">
        <v>28</v>
      </c>
      <c r="AK19" s="309">
        <v>29</v>
      </c>
      <c r="AL19" s="309">
        <v>30</v>
      </c>
      <c r="AN19" s="45"/>
    </row>
    <row r="20" spans="1:40" ht="3.75" customHeight="1" outlineLevel="1">
      <c r="E20" s="36"/>
      <c r="F20" s="37"/>
      <c r="G20" s="302"/>
      <c r="H20" s="302"/>
      <c r="I20" s="302"/>
      <c r="J20" s="302"/>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row>
    <row r="21" spans="1:40" ht="14.25" thickBot="1">
      <c r="E21" s="48" t="s">
        <v>203</v>
      </c>
      <c r="F21" s="49">
        <v>2023</v>
      </c>
      <c r="G21" s="50">
        <v>2024</v>
      </c>
      <c r="H21" s="50">
        <v>2025</v>
      </c>
      <c r="I21" s="50">
        <v>2026</v>
      </c>
      <c r="J21" s="50">
        <v>2027</v>
      </c>
      <c r="K21" s="50">
        <v>2028</v>
      </c>
      <c r="L21" s="50">
        <v>2029</v>
      </c>
      <c r="M21" s="50">
        <v>2030</v>
      </c>
      <c r="N21" s="50">
        <v>2031</v>
      </c>
      <c r="O21" s="50">
        <v>2032</v>
      </c>
      <c r="P21" s="50">
        <v>2033</v>
      </c>
      <c r="Q21" s="50">
        <v>2034</v>
      </c>
      <c r="R21" s="50">
        <v>2035</v>
      </c>
      <c r="S21" s="50">
        <v>2036</v>
      </c>
      <c r="T21" s="50">
        <v>2037</v>
      </c>
      <c r="U21" s="50">
        <v>2038</v>
      </c>
      <c r="V21" s="50">
        <v>2039</v>
      </c>
      <c r="W21" s="50">
        <v>2040</v>
      </c>
      <c r="X21" s="50">
        <v>2041</v>
      </c>
      <c r="Y21" s="50">
        <v>2042</v>
      </c>
      <c r="Z21" s="50">
        <v>2043</v>
      </c>
      <c r="AA21" s="50">
        <v>2044</v>
      </c>
      <c r="AB21" s="50">
        <v>2045</v>
      </c>
      <c r="AC21" s="50">
        <v>2046</v>
      </c>
      <c r="AD21" s="50">
        <v>2047</v>
      </c>
      <c r="AE21" s="50">
        <v>2048</v>
      </c>
      <c r="AF21" s="50">
        <v>2049</v>
      </c>
      <c r="AG21" s="50">
        <v>2050</v>
      </c>
      <c r="AH21" s="50">
        <v>2051</v>
      </c>
      <c r="AI21" s="50">
        <v>2052</v>
      </c>
      <c r="AJ21" s="50">
        <v>2053</v>
      </c>
      <c r="AK21" s="50">
        <v>2054</v>
      </c>
      <c r="AL21" s="50">
        <v>2055</v>
      </c>
    </row>
    <row r="22" spans="1:40" ht="3.75" customHeight="1">
      <c r="E22" s="38"/>
      <c r="F22" s="310"/>
      <c r="G22" s="209"/>
      <c r="H22" s="209"/>
      <c r="I22" s="209"/>
      <c r="J22" s="209"/>
      <c r="K22" s="209"/>
      <c r="L22" s="209"/>
      <c r="M22" s="209"/>
      <c r="N22" s="209"/>
      <c r="O22" s="209"/>
      <c r="P22" s="209"/>
      <c r="Q22" s="209"/>
      <c r="R22" s="209"/>
      <c r="S22" s="209"/>
      <c r="T22" s="209"/>
      <c r="U22" s="209"/>
      <c r="V22" s="209"/>
      <c r="W22" s="209"/>
      <c r="X22" s="209"/>
      <c r="Y22" s="209"/>
      <c r="Z22" s="209"/>
      <c r="AA22" s="209"/>
      <c r="AB22" s="209"/>
      <c r="AC22" s="209"/>
      <c r="AD22" s="209"/>
      <c r="AE22" s="209"/>
      <c r="AF22" s="209"/>
      <c r="AG22" s="209"/>
      <c r="AH22" s="209"/>
      <c r="AI22" s="209"/>
      <c r="AJ22" s="209"/>
      <c r="AK22" s="209"/>
      <c r="AL22" s="209"/>
    </row>
    <row r="23" spans="1:40" outlineLevel="1">
      <c r="C23" s="411"/>
      <c r="E23" s="52" t="s">
        <v>204</v>
      </c>
      <c r="F23" s="311">
        <v>0</v>
      </c>
      <c r="G23" s="312">
        <v>0</v>
      </c>
      <c r="H23" s="312">
        <v>48733.23</v>
      </c>
      <c r="I23" s="312">
        <v>99965.6</v>
      </c>
      <c r="J23" s="312">
        <v>124957</v>
      </c>
      <c r="K23" s="312">
        <v>124957</v>
      </c>
      <c r="L23" s="312">
        <v>124957</v>
      </c>
      <c r="M23" s="312">
        <v>124957</v>
      </c>
      <c r="N23" s="312">
        <v>124957</v>
      </c>
      <c r="O23" s="312">
        <v>124957</v>
      </c>
      <c r="P23" s="312">
        <v>124957</v>
      </c>
      <c r="Q23" s="312">
        <v>124957</v>
      </c>
      <c r="R23" s="312">
        <v>124957</v>
      </c>
      <c r="S23" s="312">
        <v>124957</v>
      </c>
      <c r="T23" s="312">
        <v>124957</v>
      </c>
      <c r="U23" s="312">
        <v>124957</v>
      </c>
      <c r="V23" s="312">
        <v>124957</v>
      </c>
      <c r="W23" s="312">
        <v>124957</v>
      </c>
      <c r="X23" s="312">
        <v>124957</v>
      </c>
      <c r="Y23" s="312">
        <v>124957</v>
      </c>
      <c r="Z23" s="312">
        <v>124957</v>
      </c>
      <c r="AA23" s="312">
        <v>124957</v>
      </c>
      <c r="AB23" s="312">
        <v>124957</v>
      </c>
      <c r="AC23" s="312">
        <v>124957</v>
      </c>
      <c r="AD23" s="312">
        <v>124957</v>
      </c>
      <c r="AE23" s="312">
        <v>124957</v>
      </c>
      <c r="AF23" s="312">
        <v>124957</v>
      </c>
      <c r="AG23" s="312">
        <v>124957</v>
      </c>
      <c r="AH23" s="312">
        <v>124957</v>
      </c>
      <c r="AI23" s="312">
        <v>124957</v>
      </c>
      <c r="AJ23" s="312">
        <v>124957</v>
      </c>
      <c r="AK23" s="312">
        <v>124957</v>
      </c>
      <c r="AL23" s="312">
        <v>124957</v>
      </c>
    </row>
    <row r="24" spans="1:40" outlineLevel="1">
      <c r="C24" s="411"/>
      <c r="E24" s="53" t="s">
        <v>205</v>
      </c>
      <c r="F24" s="313">
        <v>0</v>
      </c>
      <c r="G24" s="314">
        <v>48733.23</v>
      </c>
      <c r="H24" s="314">
        <v>51232.37</v>
      </c>
      <c r="I24" s="314">
        <v>24991.399999999998</v>
      </c>
      <c r="J24" s="314">
        <v>0</v>
      </c>
      <c r="K24" s="314">
        <v>0</v>
      </c>
      <c r="L24" s="314">
        <v>0</v>
      </c>
      <c r="M24" s="314">
        <v>0</v>
      </c>
      <c r="N24" s="314">
        <v>0</v>
      </c>
      <c r="O24" s="314">
        <v>0</v>
      </c>
      <c r="P24" s="314">
        <v>0</v>
      </c>
      <c r="Q24" s="314">
        <v>0</v>
      </c>
      <c r="R24" s="314">
        <v>0</v>
      </c>
      <c r="S24" s="314">
        <v>0</v>
      </c>
      <c r="T24" s="314">
        <v>0</v>
      </c>
      <c r="U24" s="314">
        <v>0</v>
      </c>
      <c r="V24" s="314">
        <v>0</v>
      </c>
      <c r="W24" s="314">
        <v>0</v>
      </c>
      <c r="X24" s="314">
        <v>0</v>
      </c>
      <c r="Y24" s="314">
        <v>0</v>
      </c>
      <c r="Z24" s="314">
        <v>0</v>
      </c>
      <c r="AA24" s="314">
        <v>0</v>
      </c>
      <c r="AB24" s="314">
        <v>0</v>
      </c>
      <c r="AC24" s="314">
        <v>0</v>
      </c>
      <c r="AD24" s="314">
        <v>0</v>
      </c>
      <c r="AE24" s="314">
        <v>0</v>
      </c>
      <c r="AF24" s="314">
        <v>0</v>
      </c>
      <c r="AG24" s="314">
        <v>0</v>
      </c>
      <c r="AH24" s="314">
        <v>0</v>
      </c>
      <c r="AI24" s="314">
        <v>0</v>
      </c>
      <c r="AJ24" s="314">
        <v>0</v>
      </c>
      <c r="AK24" s="314">
        <v>0</v>
      </c>
      <c r="AL24" s="314">
        <v>0</v>
      </c>
    </row>
    <row r="25" spans="1:40" outlineLevel="1">
      <c r="C25" s="411"/>
      <c r="E25" s="53" t="s">
        <v>206</v>
      </c>
      <c r="F25" s="313">
        <v>0</v>
      </c>
      <c r="G25" s="314">
        <v>0</v>
      </c>
      <c r="H25" s="314">
        <v>0</v>
      </c>
      <c r="I25" s="314">
        <v>0</v>
      </c>
      <c r="J25" s="314">
        <v>0</v>
      </c>
      <c r="K25" s="314">
        <v>0</v>
      </c>
      <c r="L25" s="314">
        <v>0</v>
      </c>
      <c r="M25" s="314">
        <v>0</v>
      </c>
      <c r="N25" s="314">
        <v>0</v>
      </c>
      <c r="O25" s="314">
        <v>0</v>
      </c>
      <c r="P25" s="314">
        <v>0</v>
      </c>
      <c r="Q25" s="314">
        <v>0</v>
      </c>
      <c r="R25" s="314">
        <v>0</v>
      </c>
      <c r="S25" s="314">
        <v>0</v>
      </c>
      <c r="T25" s="314">
        <v>0</v>
      </c>
      <c r="U25" s="314">
        <v>0</v>
      </c>
      <c r="V25" s="314">
        <v>0</v>
      </c>
      <c r="W25" s="314">
        <v>0</v>
      </c>
      <c r="X25" s="314">
        <v>0</v>
      </c>
      <c r="Y25" s="314">
        <v>0</v>
      </c>
      <c r="Z25" s="314">
        <v>0</v>
      </c>
      <c r="AA25" s="314">
        <v>0</v>
      </c>
      <c r="AB25" s="314">
        <v>0</v>
      </c>
      <c r="AC25" s="314">
        <v>0</v>
      </c>
      <c r="AD25" s="314">
        <v>0</v>
      </c>
      <c r="AE25" s="314">
        <v>0</v>
      </c>
      <c r="AF25" s="314">
        <v>0</v>
      </c>
      <c r="AG25" s="314">
        <v>0</v>
      </c>
      <c r="AH25" s="314">
        <v>0</v>
      </c>
      <c r="AI25" s="314">
        <v>0</v>
      </c>
      <c r="AJ25" s="314">
        <v>0</v>
      </c>
      <c r="AK25" s="314">
        <v>0</v>
      </c>
      <c r="AL25" s="314">
        <v>124957</v>
      </c>
    </row>
    <row r="26" spans="1:40" outlineLevel="1">
      <c r="C26" s="411"/>
      <c r="E26" s="52" t="s">
        <v>207</v>
      </c>
      <c r="F26" s="311">
        <v>0</v>
      </c>
      <c r="G26" s="312">
        <v>48733.23</v>
      </c>
      <c r="H26" s="312">
        <v>99965.6</v>
      </c>
      <c r="I26" s="312">
        <v>124957</v>
      </c>
      <c r="J26" s="312">
        <v>124957</v>
      </c>
      <c r="K26" s="312">
        <v>124957</v>
      </c>
      <c r="L26" s="312">
        <v>124957</v>
      </c>
      <c r="M26" s="312">
        <v>124957</v>
      </c>
      <c r="N26" s="312">
        <v>124957</v>
      </c>
      <c r="O26" s="312">
        <v>124957</v>
      </c>
      <c r="P26" s="312">
        <v>124957</v>
      </c>
      <c r="Q26" s="312">
        <v>124957</v>
      </c>
      <c r="R26" s="312">
        <v>124957</v>
      </c>
      <c r="S26" s="312">
        <v>124957</v>
      </c>
      <c r="T26" s="312">
        <v>124957</v>
      </c>
      <c r="U26" s="312">
        <v>124957</v>
      </c>
      <c r="V26" s="312">
        <v>124957</v>
      </c>
      <c r="W26" s="312">
        <v>124957</v>
      </c>
      <c r="X26" s="312">
        <v>124957</v>
      </c>
      <c r="Y26" s="312">
        <v>124957</v>
      </c>
      <c r="Z26" s="312">
        <v>124957</v>
      </c>
      <c r="AA26" s="312">
        <v>124957</v>
      </c>
      <c r="AB26" s="312">
        <v>124957</v>
      </c>
      <c r="AC26" s="312">
        <v>124957</v>
      </c>
      <c r="AD26" s="312">
        <v>124957</v>
      </c>
      <c r="AE26" s="312">
        <v>124957</v>
      </c>
      <c r="AF26" s="312">
        <v>124957</v>
      </c>
      <c r="AG26" s="312">
        <v>124957</v>
      </c>
      <c r="AH26" s="312">
        <v>124957</v>
      </c>
      <c r="AI26" s="312">
        <v>124957</v>
      </c>
      <c r="AJ26" s="312">
        <v>124957</v>
      </c>
      <c r="AK26" s="312">
        <v>124957</v>
      </c>
      <c r="AL26" s="312">
        <v>0</v>
      </c>
    </row>
    <row r="27" spans="1:40" ht="3.75" customHeight="1" outlineLevel="1">
      <c r="E27" s="52"/>
      <c r="F27" s="311"/>
      <c r="G27" s="312"/>
      <c r="H27" s="312"/>
      <c r="I27" s="312"/>
      <c r="J27" s="312"/>
      <c r="K27" s="312"/>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row>
    <row r="28" spans="1:40" outlineLevel="1">
      <c r="C28" s="412"/>
      <c r="E28" s="52" t="s">
        <v>208</v>
      </c>
      <c r="F28" s="311">
        <v>0</v>
      </c>
      <c r="G28" s="312">
        <v>0</v>
      </c>
      <c r="H28" s="312">
        <v>0</v>
      </c>
      <c r="I28" s="312">
        <v>0</v>
      </c>
      <c r="J28" s="312">
        <v>1249.57</v>
      </c>
      <c r="K28" s="312">
        <v>1249.57</v>
      </c>
      <c r="L28" s="312">
        <v>1249.57</v>
      </c>
      <c r="M28" s="312">
        <v>1249.57</v>
      </c>
      <c r="N28" s="312">
        <v>1249.57</v>
      </c>
      <c r="O28" s="312">
        <v>1249.57</v>
      </c>
      <c r="P28" s="312">
        <v>1249.57</v>
      </c>
      <c r="Q28" s="312">
        <v>1249.57</v>
      </c>
      <c r="R28" s="312">
        <v>1249.57</v>
      </c>
      <c r="S28" s="312">
        <v>1249.57</v>
      </c>
      <c r="T28" s="312">
        <v>1249.57</v>
      </c>
      <c r="U28" s="312">
        <v>1249.57</v>
      </c>
      <c r="V28" s="312">
        <v>1249.57</v>
      </c>
      <c r="W28" s="312">
        <v>1249.57</v>
      </c>
      <c r="X28" s="312">
        <v>1249.57</v>
      </c>
      <c r="Y28" s="312">
        <v>1249.57</v>
      </c>
      <c r="Z28" s="312">
        <v>1249.57</v>
      </c>
      <c r="AA28" s="312">
        <v>1249.57</v>
      </c>
      <c r="AB28" s="312">
        <v>1249.57</v>
      </c>
      <c r="AC28" s="312">
        <v>1249.57</v>
      </c>
      <c r="AD28" s="312">
        <v>1249.57</v>
      </c>
      <c r="AE28" s="312">
        <v>1249.57</v>
      </c>
      <c r="AF28" s="312">
        <v>1249.57</v>
      </c>
      <c r="AG28" s="312">
        <v>1249.57</v>
      </c>
      <c r="AH28" s="312">
        <v>1249.57</v>
      </c>
      <c r="AI28" s="312">
        <v>1249.57</v>
      </c>
      <c r="AJ28" s="312">
        <v>1249.57</v>
      </c>
      <c r="AK28" s="312">
        <v>1249.57</v>
      </c>
      <c r="AL28" s="312">
        <v>0</v>
      </c>
    </row>
    <row r="29" spans="1:40" ht="3.75" customHeight="1" outlineLevel="1">
      <c r="A29" s="18"/>
      <c r="E29" s="53"/>
      <c r="F29" s="313"/>
      <c r="G29" s="314"/>
      <c r="H29" s="314"/>
      <c r="I29" s="314"/>
      <c r="J29" s="314"/>
      <c r="K29" s="314"/>
      <c r="L29" s="314"/>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row>
    <row r="30" spans="1:40" outlineLevel="1">
      <c r="C30" s="51"/>
      <c r="E30" s="53" t="s">
        <v>209</v>
      </c>
      <c r="F30" s="313">
        <v>0</v>
      </c>
      <c r="G30" s="314">
        <v>0</v>
      </c>
      <c r="H30" s="314">
        <v>0</v>
      </c>
      <c r="I30" s="314">
        <v>7280</v>
      </c>
      <c r="J30" s="314">
        <v>7363.3046666666669</v>
      </c>
      <c r="K30" s="314">
        <v>7446.6093333333338</v>
      </c>
      <c r="L30" s="314">
        <v>7529.9139999999998</v>
      </c>
      <c r="M30" s="314">
        <v>7613.2186666666666</v>
      </c>
      <c r="N30" s="314">
        <v>7696.5233333333335</v>
      </c>
      <c r="O30" s="314">
        <v>7779.8279999999995</v>
      </c>
      <c r="P30" s="314">
        <v>7863.1326666666664</v>
      </c>
      <c r="Q30" s="314">
        <v>7946.4373333333333</v>
      </c>
      <c r="R30" s="314">
        <v>8029.7420000000002</v>
      </c>
      <c r="S30" s="314">
        <v>8113.0466666666671</v>
      </c>
      <c r="T30" s="314">
        <v>8196.351333333334</v>
      </c>
      <c r="U30" s="314">
        <v>8279.655999999999</v>
      </c>
      <c r="V30" s="314">
        <v>8362.9606666666659</v>
      </c>
      <c r="W30" s="314">
        <v>8446.2653333333328</v>
      </c>
      <c r="X30" s="314">
        <v>2300.0366666666669</v>
      </c>
      <c r="Y30" s="314">
        <v>2300.0366666666669</v>
      </c>
      <c r="Z30" s="314">
        <v>2300.0366666666669</v>
      </c>
      <c r="AA30" s="314">
        <v>2300.0366666666669</v>
      </c>
      <c r="AB30" s="314">
        <v>2300.0366666666669</v>
      </c>
      <c r="AC30" s="314">
        <v>2300.0366666666669</v>
      </c>
      <c r="AD30" s="314">
        <v>2300.0366666666669</v>
      </c>
      <c r="AE30" s="314">
        <v>2300.0366666666669</v>
      </c>
      <c r="AF30" s="314">
        <v>2300.0366666666669</v>
      </c>
      <c r="AG30" s="314">
        <v>2300.0366666666669</v>
      </c>
      <c r="AH30" s="314">
        <v>2300.0366666666669</v>
      </c>
      <c r="AI30" s="314">
        <v>2300.0366666666669</v>
      </c>
      <c r="AJ30" s="314">
        <v>2300.0366666666669</v>
      </c>
      <c r="AK30" s="314">
        <v>2300.0366666666669</v>
      </c>
      <c r="AL30" s="314">
        <v>2216.732</v>
      </c>
    </row>
    <row r="31" spans="1:40" outlineLevel="1">
      <c r="C31" s="51"/>
      <c r="E31" s="53" t="s">
        <v>210</v>
      </c>
      <c r="F31" s="313"/>
      <c r="G31" s="314"/>
      <c r="H31" s="314"/>
      <c r="I31" s="314">
        <v>7280</v>
      </c>
      <c r="J31" s="314">
        <v>14643.304666666667</v>
      </c>
      <c r="K31" s="314">
        <v>22089.914000000001</v>
      </c>
      <c r="L31" s="314">
        <v>29619.828000000001</v>
      </c>
      <c r="M31" s="314">
        <v>37233.046666666669</v>
      </c>
      <c r="N31" s="314">
        <v>44929.57</v>
      </c>
      <c r="O31" s="314">
        <v>52709.398000000001</v>
      </c>
      <c r="P31" s="314">
        <v>60572.530666666666</v>
      </c>
      <c r="Q31" s="314">
        <v>68518.967999999993</v>
      </c>
      <c r="R31" s="314">
        <v>76548.709999999992</v>
      </c>
      <c r="S31" s="314">
        <v>84661.756666666653</v>
      </c>
      <c r="T31" s="314">
        <v>92858.107999999993</v>
      </c>
      <c r="U31" s="314">
        <v>101137.764</v>
      </c>
      <c r="V31" s="314">
        <v>109500.72466666666</v>
      </c>
      <c r="W31" s="314">
        <v>117946.98999999999</v>
      </c>
      <c r="X31" s="314">
        <v>120247.02666666666</v>
      </c>
      <c r="Y31" s="314">
        <v>122547.06333333332</v>
      </c>
      <c r="Z31" s="314">
        <v>124847.09999999999</v>
      </c>
      <c r="AA31" s="314">
        <v>127147.13666666666</v>
      </c>
      <c r="AB31" s="314">
        <v>129447.17333333332</v>
      </c>
      <c r="AC31" s="314">
        <v>131747.21</v>
      </c>
      <c r="AD31" s="314">
        <v>134047.24666666664</v>
      </c>
      <c r="AE31" s="314">
        <v>136347.28333333333</v>
      </c>
      <c r="AF31" s="314">
        <v>138647.32</v>
      </c>
      <c r="AG31" s="314">
        <v>140947.35666666669</v>
      </c>
      <c r="AH31" s="314">
        <v>143247.39333333337</v>
      </c>
      <c r="AI31" s="314">
        <v>145547.43000000005</v>
      </c>
      <c r="AJ31" s="314">
        <v>147847.46666666673</v>
      </c>
      <c r="AK31" s="314">
        <v>150147.50333333341</v>
      </c>
      <c r="AL31" s="314">
        <v>152364.2353333334</v>
      </c>
    </row>
    <row r="32" spans="1:40" outlineLevel="1">
      <c r="C32" s="51"/>
      <c r="E32" s="54" t="s">
        <v>211</v>
      </c>
      <c r="F32" s="315"/>
      <c r="G32" s="316"/>
      <c r="H32" s="316"/>
      <c r="I32" s="316">
        <v>117677</v>
      </c>
      <c r="J32" s="316">
        <v>111563.26533333334</v>
      </c>
      <c r="K32" s="316">
        <v>104116.656</v>
      </c>
      <c r="L32" s="316">
        <v>96586.741999999998</v>
      </c>
      <c r="M32" s="316">
        <v>88973.523333333345</v>
      </c>
      <c r="N32" s="316">
        <v>81277</v>
      </c>
      <c r="O32" s="316">
        <v>73497.172000000006</v>
      </c>
      <c r="P32" s="316">
        <v>65634.039333333349</v>
      </c>
      <c r="Q32" s="316">
        <v>57687.602000000014</v>
      </c>
      <c r="R32" s="316">
        <v>49657.860000000015</v>
      </c>
      <c r="S32" s="316">
        <v>41544.813333333354</v>
      </c>
      <c r="T32" s="316">
        <v>33348.462000000014</v>
      </c>
      <c r="U32" s="316">
        <v>25068.806000000011</v>
      </c>
      <c r="V32" s="316">
        <v>16705.845333333345</v>
      </c>
      <c r="W32" s="316">
        <v>8259.5800000000163</v>
      </c>
      <c r="X32" s="316">
        <v>5959.5433333333494</v>
      </c>
      <c r="Y32" s="316">
        <v>3659.5066666666826</v>
      </c>
      <c r="Z32" s="316">
        <v>1359.4700000000157</v>
      </c>
      <c r="AA32" s="316">
        <v>0</v>
      </c>
      <c r="AB32" s="316">
        <v>0</v>
      </c>
      <c r="AC32" s="316">
        <v>0</v>
      </c>
      <c r="AD32" s="316">
        <v>0</v>
      </c>
      <c r="AE32" s="316">
        <v>0</v>
      </c>
      <c r="AF32" s="316">
        <v>0</v>
      </c>
      <c r="AG32" s="316">
        <v>0</v>
      </c>
      <c r="AH32" s="316">
        <v>0</v>
      </c>
      <c r="AI32" s="316">
        <v>0</v>
      </c>
      <c r="AJ32" s="316">
        <v>0</v>
      </c>
      <c r="AK32" s="316">
        <v>0</v>
      </c>
      <c r="AL32" s="316">
        <v>0</v>
      </c>
    </row>
    <row r="33" spans="1:40" ht="3.75" customHeight="1" outlineLevel="1">
      <c r="E33" s="55"/>
      <c r="F33" s="56"/>
      <c r="G33" s="57"/>
      <c r="H33" s="57"/>
      <c r="I33" s="57"/>
      <c r="J33" s="58"/>
      <c r="K33" s="57"/>
      <c r="L33" s="58"/>
      <c r="M33" s="57"/>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row>
    <row r="34" spans="1:40" s="60" customFormat="1" outlineLevel="1">
      <c r="A34" s="59"/>
      <c r="C34" s="413"/>
      <c r="E34" s="52" t="s">
        <v>477</v>
      </c>
      <c r="F34" s="311"/>
      <c r="G34" s="317"/>
      <c r="H34" s="312"/>
      <c r="I34" s="318"/>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N34" s="59"/>
    </row>
    <row r="35" spans="1:40" outlineLevel="1">
      <c r="C35" s="411"/>
      <c r="E35" s="78" t="s">
        <v>546</v>
      </c>
      <c r="F35" s="414">
        <v>25</v>
      </c>
      <c r="G35" s="414">
        <v>25</v>
      </c>
      <c r="H35" s="414">
        <v>25</v>
      </c>
      <c r="I35" s="414">
        <v>25</v>
      </c>
      <c r="J35" s="320">
        <v>15</v>
      </c>
      <c r="K35" s="320">
        <v>15</v>
      </c>
      <c r="L35" s="320">
        <v>15</v>
      </c>
      <c r="M35" s="320">
        <v>15</v>
      </c>
      <c r="N35" s="320">
        <v>15</v>
      </c>
      <c r="O35" s="320">
        <v>15</v>
      </c>
      <c r="P35" s="320">
        <v>15</v>
      </c>
      <c r="Q35" s="320">
        <v>15</v>
      </c>
      <c r="R35" s="320">
        <v>15</v>
      </c>
      <c r="S35" s="320">
        <v>15</v>
      </c>
      <c r="T35" s="320">
        <v>15</v>
      </c>
      <c r="U35" s="320">
        <v>15</v>
      </c>
      <c r="V35" s="320">
        <v>15</v>
      </c>
      <c r="W35" s="320">
        <v>15</v>
      </c>
      <c r="X35" s="320">
        <v>15</v>
      </c>
      <c r="Y35" s="320">
        <v>15</v>
      </c>
      <c r="Z35" s="320">
        <v>15</v>
      </c>
      <c r="AA35" s="320">
        <v>15</v>
      </c>
      <c r="AB35" s="320">
        <v>15</v>
      </c>
      <c r="AC35" s="320">
        <v>15</v>
      </c>
      <c r="AD35" s="320">
        <v>15</v>
      </c>
      <c r="AE35" s="320">
        <v>15</v>
      </c>
      <c r="AF35" s="320">
        <v>15</v>
      </c>
      <c r="AG35" s="320">
        <v>15</v>
      </c>
      <c r="AH35" s="320">
        <v>15</v>
      </c>
      <c r="AI35" s="320">
        <v>15</v>
      </c>
      <c r="AJ35" s="320">
        <v>15</v>
      </c>
      <c r="AK35" s="320">
        <v>15</v>
      </c>
      <c r="AL35" s="320">
        <v>15</v>
      </c>
    </row>
    <row r="36" spans="1:40" outlineLevel="1">
      <c r="C36" s="411"/>
      <c r="E36" s="281" t="s">
        <v>67</v>
      </c>
      <c r="F36" s="415">
        <v>10</v>
      </c>
      <c r="G36" s="324">
        <v>10</v>
      </c>
      <c r="H36" s="324">
        <v>10</v>
      </c>
      <c r="I36" s="324">
        <v>10</v>
      </c>
      <c r="J36" s="324">
        <v>10</v>
      </c>
      <c r="K36" s="324">
        <v>10</v>
      </c>
      <c r="L36" s="324">
        <v>10</v>
      </c>
      <c r="M36" s="324">
        <v>10</v>
      </c>
      <c r="N36" s="324">
        <v>10</v>
      </c>
      <c r="O36" s="324">
        <v>10</v>
      </c>
      <c r="P36" s="324">
        <v>10</v>
      </c>
      <c r="Q36" s="324">
        <v>10</v>
      </c>
      <c r="R36" s="324">
        <v>10</v>
      </c>
      <c r="S36" s="324">
        <v>10</v>
      </c>
      <c r="T36" s="324">
        <v>10</v>
      </c>
      <c r="U36" s="324">
        <v>10</v>
      </c>
      <c r="V36" s="324">
        <v>10</v>
      </c>
      <c r="W36" s="324">
        <v>10</v>
      </c>
      <c r="X36" s="324">
        <v>10</v>
      </c>
      <c r="Y36" s="324">
        <v>10</v>
      </c>
      <c r="Z36" s="324">
        <v>10</v>
      </c>
      <c r="AA36" s="324">
        <v>10</v>
      </c>
      <c r="AB36" s="324">
        <v>10</v>
      </c>
      <c r="AC36" s="324">
        <v>10</v>
      </c>
      <c r="AD36" s="324">
        <v>10</v>
      </c>
      <c r="AE36" s="324">
        <v>10</v>
      </c>
      <c r="AF36" s="324">
        <v>10</v>
      </c>
      <c r="AG36" s="324">
        <v>10</v>
      </c>
      <c r="AH36" s="324">
        <v>10</v>
      </c>
      <c r="AI36" s="324">
        <v>10</v>
      </c>
      <c r="AJ36" s="324">
        <v>10</v>
      </c>
      <c r="AK36" s="324">
        <v>10</v>
      </c>
      <c r="AL36" s="324">
        <v>10</v>
      </c>
    </row>
    <row r="37" spans="1:40" ht="3.75" customHeight="1" outlineLevel="1">
      <c r="E37" s="55"/>
      <c r="F37" s="56"/>
      <c r="G37" s="57"/>
      <c r="H37" s="57"/>
      <c r="I37" s="57"/>
      <c r="J37" s="58"/>
      <c r="K37" s="57"/>
      <c r="L37" s="58"/>
      <c r="M37" s="57"/>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row>
    <row r="38" spans="1:40" s="60" customFormat="1" outlineLevel="1">
      <c r="A38" s="59"/>
      <c r="C38" s="247"/>
      <c r="E38" s="52" t="s">
        <v>479</v>
      </c>
      <c r="F38" s="311"/>
      <c r="G38" s="317"/>
      <c r="H38" s="312"/>
      <c r="I38" s="318"/>
      <c r="J38" s="318"/>
      <c r="K38" s="318"/>
      <c r="L38" s="318"/>
      <c r="M38" s="318"/>
      <c r="N38" s="318"/>
      <c r="O38" s="318"/>
      <c r="P38" s="318"/>
      <c r="Q38" s="318"/>
      <c r="R38" s="318"/>
      <c r="S38" s="318"/>
      <c r="T38" s="318"/>
      <c r="U38" s="318"/>
      <c r="V38" s="318"/>
      <c r="W38" s="318"/>
      <c r="X38" s="318"/>
      <c r="Y38" s="318"/>
      <c r="Z38" s="318"/>
      <c r="AA38" s="318"/>
      <c r="AB38" s="318"/>
      <c r="AC38" s="318"/>
      <c r="AD38" s="318"/>
      <c r="AE38" s="318"/>
      <c r="AF38" s="318"/>
      <c r="AG38" s="318"/>
      <c r="AH38" s="318"/>
      <c r="AI38" s="318"/>
      <c r="AJ38" s="318"/>
      <c r="AK38" s="318"/>
      <c r="AL38" s="318"/>
      <c r="AN38" s="59"/>
    </row>
    <row r="39" spans="1:40" outlineLevel="1">
      <c r="C39" s="51"/>
      <c r="E39" s="53" t="s">
        <v>405</v>
      </c>
      <c r="F39" s="416"/>
      <c r="G39" s="328"/>
      <c r="H39" s="328"/>
      <c r="I39" s="328">
        <v>2687.2383999999997</v>
      </c>
      <c r="J39" s="328">
        <v>7677.8239999999996</v>
      </c>
      <c r="K39" s="328">
        <v>7677.8239999999996</v>
      </c>
      <c r="L39" s="328">
        <v>7677.8239999999996</v>
      </c>
      <c r="M39" s="328">
        <v>7677.8239999999996</v>
      </c>
      <c r="N39" s="328">
        <v>7677.8239999999996</v>
      </c>
      <c r="O39" s="328">
        <v>7677.8239999999996</v>
      </c>
      <c r="P39" s="328">
        <v>7677.8239999999996</v>
      </c>
      <c r="Q39" s="328">
        <v>7677.8239999999996</v>
      </c>
      <c r="R39" s="328">
        <v>7677.8239999999996</v>
      </c>
      <c r="S39" s="328">
        <v>7677.8239999999996</v>
      </c>
      <c r="T39" s="328">
        <v>7677.8239999999996</v>
      </c>
      <c r="U39" s="328">
        <v>7677.8239999999996</v>
      </c>
      <c r="V39" s="328">
        <v>7677.8239999999996</v>
      </c>
      <c r="W39" s="328">
        <v>7677.8239999999996</v>
      </c>
      <c r="X39" s="328">
        <v>7677.8239999999996</v>
      </c>
      <c r="Y39" s="328">
        <v>7677.8239999999996</v>
      </c>
      <c r="Z39" s="328">
        <v>7677.8239999999996</v>
      </c>
      <c r="AA39" s="328">
        <v>7677.8239999999996</v>
      </c>
      <c r="AB39" s="328">
        <v>7677.8239999999996</v>
      </c>
      <c r="AC39" s="328">
        <v>7677.8239999999996</v>
      </c>
      <c r="AD39" s="328">
        <v>7677.8239999999996</v>
      </c>
      <c r="AE39" s="328">
        <v>7677.8239999999996</v>
      </c>
      <c r="AF39" s="328">
        <v>7677.8239999999996</v>
      </c>
      <c r="AG39" s="328">
        <v>7677.8239999999996</v>
      </c>
      <c r="AH39" s="328">
        <v>7677.8239999999996</v>
      </c>
      <c r="AI39" s="328">
        <v>7677.8239999999996</v>
      </c>
      <c r="AJ39" s="328">
        <v>7677.8239999999996</v>
      </c>
      <c r="AK39" s="328">
        <v>7677.8239999999996</v>
      </c>
      <c r="AL39" s="328">
        <v>7677.8239999999996</v>
      </c>
    </row>
    <row r="40" spans="1:40" outlineLevel="1">
      <c r="C40" s="51"/>
      <c r="E40" s="78" t="s">
        <v>406</v>
      </c>
      <c r="F40" s="416"/>
      <c r="G40" s="328"/>
      <c r="H40" s="328"/>
      <c r="I40" s="328">
        <v>0</v>
      </c>
      <c r="J40" s="328">
        <v>0</v>
      </c>
      <c r="K40" s="328">
        <v>0</v>
      </c>
      <c r="L40" s="328">
        <v>0</v>
      </c>
      <c r="M40" s="328">
        <v>0</v>
      </c>
      <c r="N40" s="328">
        <v>0</v>
      </c>
      <c r="O40" s="328">
        <v>0</v>
      </c>
      <c r="P40" s="328">
        <v>0</v>
      </c>
      <c r="Q40" s="328">
        <v>0</v>
      </c>
      <c r="R40" s="328">
        <v>0</v>
      </c>
      <c r="S40" s="328">
        <v>0</v>
      </c>
      <c r="T40" s="328">
        <v>0</v>
      </c>
      <c r="U40" s="328">
        <v>0</v>
      </c>
      <c r="V40" s="328">
        <v>0</v>
      </c>
      <c r="W40" s="328">
        <v>0</v>
      </c>
      <c r="X40" s="328">
        <v>0</v>
      </c>
      <c r="Y40" s="328">
        <v>0</v>
      </c>
      <c r="Z40" s="328">
        <v>0</v>
      </c>
      <c r="AA40" s="328">
        <v>0</v>
      </c>
      <c r="AB40" s="328">
        <v>0</v>
      </c>
      <c r="AC40" s="328">
        <v>0</v>
      </c>
      <c r="AD40" s="328">
        <v>0</v>
      </c>
      <c r="AE40" s="328">
        <v>0</v>
      </c>
      <c r="AF40" s="328">
        <v>0</v>
      </c>
      <c r="AG40" s="328">
        <v>0</v>
      </c>
      <c r="AH40" s="328">
        <v>0</v>
      </c>
      <c r="AI40" s="328">
        <v>0</v>
      </c>
      <c r="AJ40" s="328">
        <v>0</v>
      </c>
      <c r="AK40" s="328">
        <v>0</v>
      </c>
      <c r="AL40" s="328">
        <v>0</v>
      </c>
    </row>
    <row r="41" spans="1:40" outlineLevel="1">
      <c r="C41" s="51"/>
      <c r="E41" s="78" t="s">
        <v>407</v>
      </c>
      <c r="F41" s="416"/>
      <c r="G41" s="328"/>
      <c r="H41" s="328"/>
      <c r="I41" s="328">
        <v>2687.2383999999997</v>
      </c>
      <c r="J41" s="328">
        <v>7677.8239999999996</v>
      </c>
      <c r="K41" s="328">
        <v>7677.8239999999996</v>
      </c>
      <c r="L41" s="328">
        <v>7677.8239999999996</v>
      </c>
      <c r="M41" s="328">
        <v>7677.8239999999996</v>
      </c>
      <c r="N41" s="328">
        <v>7677.8239999999996</v>
      </c>
      <c r="O41" s="328">
        <v>7677.8239999999996</v>
      </c>
      <c r="P41" s="328">
        <v>7677.8239999999996</v>
      </c>
      <c r="Q41" s="328">
        <v>7677.8239999999996</v>
      </c>
      <c r="R41" s="328">
        <v>7677.8239999999996</v>
      </c>
      <c r="S41" s="328">
        <v>7677.8239999999996</v>
      </c>
      <c r="T41" s="328">
        <v>7677.8239999999996</v>
      </c>
      <c r="U41" s="328">
        <v>7677.8239999999996</v>
      </c>
      <c r="V41" s="328">
        <v>7677.8239999999996</v>
      </c>
      <c r="W41" s="328">
        <v>7677.8239999999996</v>
      </c>
      <c r="X41" s="328">
        <v>7677.8239999999996</v>
      </c>
      <c r="Y41" s="328">
        <v>7677.8239999999996</v>
      </c>
      <c r="Z41" s="328">
        <v>7677.8239999999996</v>
      </c>
      <c r="AA41" s="328">
        <v>7677.8239999999996</v>
      </c>
      <c r="AB41" s="328">
        <v>7677.8239999999996</v>
      </c>
      <c r="AC41" s="328">
        <v>7677.8239999999996</v>
      </c>
      <c r="AD41" s="328">
        <v>7677.8239999999996</v>
      </c>
      <c r="AE41" s="328">
        <v>7677.8239999999996</v>
      </c>
      <c r="AF41" s="328">
        <v>7677.8239999999996</v>
      </c>
      <c r="AG41" s="328">
        <v>7677.8239999999996</v>
      </c>
      <c r="AH41" s="328">
        <v>7677.8239999999996</v>
      </c>
      <c r="AI41" s="328">
        <v>7677.8239999999996</v>
      </c>
      <c r="AJ41" s="328">
        <v>7677.8239999999996</v>
      </c>
      <c r="AK41" s="328">
        <v>7677.8239999999996</v>
      </c>
      <c r="AL41" s="328">
        <v>7677.8239999999996</v>
      </c>
    </row>
    <row r="42" spans="1:40" outlineLevel="1">
      <c r="C42" s="51"/>
      <c r="E42" s="53" t="s">
        <v>212</v>
      </c>
      <c r="F42" s="416"/>
      <c r="G42" s="328"/>
      <c r="H42" s="328"/>
      <c r="I42" s="328">
        <v>4568.3052799999996</v>
      </c>
      <c r="J42" s="328">
        <v>13052.300799999999</v>
      </c>
      <c r="K42" s="328">
        <v>13052.300799999999</v>
      </c>
      <c r="L42" s="328">
        <v>13052.300799999999</v>
      </c>
      <c r="M42" s="328">
        <v>13052.300799999999</v>
      </c>
      <c r="N42" s="328">
        <v>13052.300799999999</v>
      </c>
      <c r="O42" s="328">
        <v>13052.300799999999</v>
      </c>
      <c r="P42" s="328">
        <v>13052.300799999999</v>
      </c>
      <c r="Q42" s="328">
        <v>13052.300799999999</v>
      </c>
      <c r="R42" s="328">
        <v>13052.300799999999</v>
      </c>
      <c r="S42" s="328">
        <v>13052.300799999999</v>
      </c>
      <c r="T42" s="328">
        <v>13052.300799999999</v>
      </c>
      <c r="U42" s="328">
        <v>13052.300799999999</v>
      </c>
      <c r="V42" s="328">
        <v>13052.300799999999</v>
      </c>
      <c r="W42" s="328">
        <v>13052.300799999999</v>
      </c>
      <c r="X42" s="328">
        <v>13052.300799999999</v>
      </c>
      <c r="Y42" s="328">
        <v>13052.300799999999</v>
      </c>
      <c r="Z42" s="328">
        <v>13052.300799999999</v>
      </c>
      <c r="AA42" s="328">
        <v>13052.300799999999</v>
      </c>
      <c r="AB42" s="328">
        <v>13052.300799999999</v>
      </c>
      <c r="AC42" s="328">
        <v>13052.300799999999</v>
      </c>
      <c r="AD42" s="328">
        <v>13052.300799999999</v>
      </c>
      <c r="AE42" s="328">
        <v>13052.300799999999</v>
      </c>
      <c r="AF42" s="328">
        <v>13052.300799999999</v>
      </c>
      <c r="AG42" s="328">
        <v>13052.300799999999</v>
      </c>
      <c r="AH42" s="328">
        <v>13052.300799999999</v>
      </c>
      <c r="AI42" s="328">
        <v>13052.300799999999</v>
      </c>
      <c r="AJ42" s="328">
        <v>13052.300799999999</v>
      </c>
      <c r="AK42" s="328">
        <v>13052.300799999999</v>
      </c>
      <c r="AL42" s="328">
        <v>13052.300799999999</v>
      </c>
    </row>
    <row r="43" spans="1:40" outlineLevel="1">
      <c r="C43" s="51"/>
      <c r="E43" s="53" t="s">
        <v>256</v>
      </c>
      <c r="F43" s="416">
        <v>196</v>
      </c>
      <c r="G43" s="328">
        <v>199.92000000000002</v>
      </c>
      <c r="H43" s="328">
        <v>203.91840000000002</v>
      </c>
      <c r="I43" s="328">
        <v>207.99676800000003</v>
      </c>
      <c r="J43" s="328">
        <v>212.15670336000002</v>
      </c>
      <c r="K43" s="328">
        <v>216.39983742720003</v>
      </c>
      <c r="L43" s="328">
        <v>222.89183255001603</v>
      </c>
      <c r="M43" s="328">
        <v>229.57858752651651</v>
      </c>
      <c r="N43" s="328">
        <v>236.465945152312</v>
      </c>
      <c r="O43" s="328">
        <v>243.55992350688138</v>
      </c>
      <c r="P43" s="328">
        <v>250.86672121208781</v>
      </c>
      <c r="Q43" s="328">
        <v>258.39272284845043</v>
      </c>
      <c r="R43" s="328">
        <v>266.14450453390396</v>
      </c>
      <c r="S43" s="328">
        <v>270</v>
      </c>
      <c r="T43" s="328">
        <v>270</v>
      </c>
      <c r="U43" s="328">
        <v>270</v>
      </c>
      <c r="V43" s="328">
        <v>270</v>
      </c>
      <c r="W43" s="328">
        <v>270</v>
      </c>
      <c r="X43" s="328">
        <v>270</v>
      </c>
      <c r="Y43" s="328">
        <v>270</v>
      </c>
      <c r="Z43" s="328">
        <v>270</v>
      </c>
      <c r="AA43" s="328">
        <v>270</v>
      </c>
      <c r="AB43" s="328">
        <v>270</v>
      </c>
      <c r="AC43" s="328">
        <v>270</v>
      </c>
      <c r="AD43" s="328">
        <v>270</v>
      </c>
      <c r="AE43" s="328">
        <v>270</v>
      </c>
      <c r="AF43" s="328">
        <v>270</v>
      </c>
      <c r="AG43" s="328">
        <v>270</v>
      </c>
      <c r="AH43" s="328">
        <v>270</v>
      </c>
      <c r="AI43" s="328">
        <v>270</v>
      </c>
      <c r="AJ43" s="328">
        <v>270</v>
      </c>
      <c r="AK43" s="328">
        <v>270</v>
      </c>
      <c r="AL43" s="328">
        <v>270</v>
      </c>
    </row>
    <row r="44" spans="1:40" outlineLevel="1">
      <c r="C44" s="51"/>
      <c r="E44" s="53" t="s">
        <v>257</v>
      </c>
      <c r="F44" s="416">
        <v>135</v>
      </c>
      <c r="G44" s="328">
        <v>137.69999999999999</v>
      </c>
      <c r="H44" s="328">
        <v>140.45399999999998</v>
      </c>
      <c r="I44" s="328">
        <v>143.26307999999997</v>
      </c>
      <c r="J44" s="328">
        <v>146.12834159999997</v>
      </c>
      <c r="K44" s="328">
        <v>149.05090843199997</v>
      </c>
      <c r="L44" s="328">
        <v>153.52243568495999</v>
      </c>
      <c r="M44" s="328">
        <v>158.1281087555088</v>
      </c>
      <c r="N44" s="328">
        <v>162.87195201817408</v>
      </c>
      <c r="O44" s="328">
        <v>167.75811057871931</v>
      </c>
      <c r="P44" s="328">
        <v>172.7908538960809</v>
      </c>
      <c r="Q44" s="328">
        <v>177.97457951296334</v>
      </c>
      <c r="R44" s="328">
        <v>183.31381689835226</v>
      </c>
      <c r="S44" s="328">
        <v>188.81323140530284</v>
      </c>
      <c r="T44" s="328">
        <v>194.47762834746194</v>
      </c>
      <c r="U44" s="328">
        <v>200.31195719788582</v>
      </c>
      <c r="V44" s="328">
        <v>206.32131591382239</v>
      </c>
      <c r="W44" s="328">
        <v>212.51095539123708</v>
      </c>
      <c r="X44" s="328">
        <v>218.88628405297419</v>
      </c>
      <c r="Y44" s="328">
        <v>225.45287257456343</v>
      </c>
      <c r="Z44" s="328">
        <v>232.21645875180033</v>
      </c>
      <c r="AA44" s="328">
        <v>239.18295251435435</v>
      </c>
      <c r="AB44" s="328">
        <v>246.358441089785</v>
      </c>
      <c r="AC44" s="328">
        <v>253.74919432247856</v>
      </c>
      <c r="AD44" s="328">
        <v>261.3616701521529</v>
      </c>
      <c r="AE44" s="328">
        <v>269.20252025671749</v>
      </c>
      <c r="AF44" s="328">
        <v>277.278595864419</v>
      </c>
      <c r="AG44" s="328">
        <v>285.59695374035158</v>
      </c>
      <c r="AH44" s="328">
        <v>294.16486235256212</v>
      </c>
      <c r="AI44" s="328">
        <v>300</v>
      </c>
      <c r="AJ44" s="328">
        <v>300</v>
      </c>
      <c r="AK44" s="328">
        <v>300</v>
      </c>
      <c r="AL44" s="328">
        <v>300</v>
      </c>
    </row>
    <row r="45" spans="1:40" outlineLevel="1">
      <c r="C45" s="51"/>
      <c r="E45" s="53" t="s">
        <v>258</v>
      </c>
      <c r="F45" s="416">
        <v>3500</v>
      </c>
      <c r="G45" s="328">
        <v>4375</v>
      </c>
      <c r="H45" s="328">
        <v>4812.5</v>
      </c>
      <c r="I45" s="328">
        <v>5293.75</v>
      </c>
      <c r="J45" s="328">
        <v>5823.1250000000009</v>
      </c>
      <c r="K45" s="328">
        <v>6114.2812500000009</v>
      </c>
      <c r="L45" s="328">
        <v>6419.9953125000011</v>
      </c>
      <c r="M45" s="328">
        <v>6300</v>
      </c>
      <c r="N45" s="328">
        <v>6300</v>
      </c>
      <c r="O45" s="328">
        <v>6300</v>
      </c>
      <c r="P45" s="328">
        <v>6300</v>
      </c>
      <c r="Q45" s="328">
        <v>6300</v>
      </c>
      <c r="R45" s="328">
        <v>6300</v>
      </c>
      <c r="S45" s="328">
        <v>6300</v>
      </c>
      <c r="T45" s="328">
        <v>6300</v>
      </c>
      <c r="U45" s="328">
        <v>6300</v>
      </c>
      <c r="V45" s="328">
        <v>6300</v>
      </c>
      <c r="W45" s="328">
        <v>6300</v>
      </c>
      <c r="X45" s="328">
        <v>6300</v>
      </c>
      <c r="Y45" s="328">
        <v>6300</v>
      </c>
      <c r="Z45" s="328">
        <v>6300</v>
      </c>
      <c r="AA45" s="328">
        <v>6300</v>
      </c>
      <c r="AB45" s="328">
        <v>6300</v>
      </c>
      <c r="AC45" s="328">
        <v>6300</v>
      </c>
      <c r="AD45" s="328">
        <v>6300</v>
      </c>
      <c r="AE45" s="328">
        <v>6300</v>
      </c>
      <c r="AF45" s="328">
        <v>6300</v>
      </c>
      <c r="AG45" s="328">
        <v>6300</v>
      </c>
      <c r="AH45" s="328">
        <v>6300</v>
      </c>
      <c r="AI45" s="328">
        <v>6300</v>
      </c>
      <c r="AJ45" s="328">
        <v>6300</v>
      </c>
      <c r="AK45" s="328">
        <v>6300</v>
      </c>
      <c r="AL45" s="328">
        <v>6300</v>
      </c>
    </row>
    <row r="46" spans="1:40" outlineLevel="1">
      <c r="C46" s="51"/>
      <c r="E46" s="53" t="s">
        <v>259</v>
      </c>
      <c r="F46" s="416">
        <v>12480</v>
      </c>
      <c r="G46" s="328">
        <v>15600</v>
      </c>
      <c r="H46" s="328">
        <v>17160</v>
      </c>
      <c r="I46" s="328">
        <v>18876</v>
      </c>
      <c r="J46" s="328">
        <v>20763.600000000002</v>
      </c>
      <c r="K46" s="328">
        <v>21801.780000000002</v>
      </c>
      <c r="L46" s="328">
        <v>22891.869000000002</v>
      </c>
      <c r="M46" s="328">
        <v>23000</v>
      </c>
      <c r="N46" s="328">
        <v>23000</v>
      </c>
      <c r="O46" s="328">
        <v>23000</v>
      </c>
      <c r="P46" s="328">
        <v>23000</v>
      </c>
      <c r="Q46" s="328">
        <v>23000</v>
      </c>
      <c r="R46" s="328">
        <v>23000</v>
      </c>
      <c r="S46" s="328">
        <v>23000</v>
      </c>
      <c r="T46" s="328">
        <v>23000</v>
      </c>
      <c r="U46" s="328">
        <v>23000</v>
      </c>
      <c r="V46" s="328">
        <v>23000</v>
      </c>
      <c r="W46" s="328">
        <v>23000</v>
      </c>
      <c r="X46" s="328">
        <v>23000</v>
      </c>
      <c r="Y46" s="328">
        <v>23000</v>
      </c>
      <c r="Z46" s="328">
        <v>23000</v>
      </c>
      <c r="AA46" s="328">
        <v>23000</v>
      </c>
      <c r="AB46" s="328">
        <v>23000</v>
      </c>
      <c r="AC46" s="328">
        <v>23000</v>
      </c>
      <c r="AD46" s="328">
        <v>23000</v>
      </c>
      <c r="AE46" s="328">
        <v>23000</v>
      </c>
      <c r="AF46" s="328">
        <v>23000</v>
      </c>
      <c r="AG46" s="328">
        <v>23000</v>
      </c>
      <c r="AH46" s="328">
        <v>23000</v>
      </c>
      <c r="AI46" s="328">
        <v>23000</v>
      </c>
      <c r="AJ46" s="328">
        <v>23000</v>
      </c>
      <c r="AK46" s="328">
        <v>23000</v>
      </c>
      <c r="AL46" s="328">
        <v>23000</v>
      </c>
    </row>
    <row r="47" spans="1:40" s="60" customFormat="1" outlineLevel="1">
      <c r="A47" s="59"/>
      <c r="C47" s="247"/>
      <c r="E47" s="54" t="s">
        <v>214</v>
      </c>
      <c r="F47" s="329">
        <v>16311</v>
      </c>
      <c r="G47" s="330">
        <v>20312.62</v>
      </c>
      <c r="H47" s="330">
        <v>22316.8724</v>
      </c>
      <c r="I47" s="330">
        <v>31776.553527999997</v>
      </c>
      <c r="J47" s="330">
        <v>47675.134844960005</v>
      </c>
      <c r="K47" s="330">
        <v>49011.636795859202</v>
      </c>
      <c r="L47" s="330">
        <v>50418.403380734977</v>
      </c>
      <c r="M47" s="330">
        <v>50417.831496282022</v>
      </c>
      <c r="N47" s="330">
        <v>50429.462697170486</v>
      </c>
      <c r="O47" s="330">
        <v>50441.442834085596</v>
      </c>
      <c r="P47" s="330">
        <v>50453.782375108167</v>
      </c>
      <c r="Q47" s="330">
        <v>50466.492102361415</v>
      </c>
      <c r="R47" s="330">
        <v>50479.583121432253</v>
      </c>
      <c r="S47" s="330">
        <v>50488.938031405298</v>
      </c>
      <c r="T47" s="330">
        <v>50494.602428347454</v>
      </c>
      <c r="U47" s="330">
        <v>50500.43675719788</v>
      </c>
      <c r="V47" s="330">
        <v>50506.446115913815</v>
      </c>
      <c r="W47" s="330">
        <v>50512.635755391238</v>
      </c>
      <c r="X47" s="330">
        <v>50519.011084052967</v>
      </c>
      <c r="Y47" s="330">
        <v>50525.57767257456</v>
      </c>
      <c r="Z47" s="330">
        <v>50532.341258751796</v>
      </c>
      <c r="AA47" s="330">
        <v>50539.307752514353</v>
      </c>
      <c r="AB47" s="330">
        <v>50546.48324108978</v>
      </c>
      <c r="AC47" s="330">
        <v>50553.873994322479</v>
      </c>
      <c r="AD47" s="330">
        <v>50561.486470152151</v>
      </c>
      <c r="AE47" s="330">
        <v>50569.327320256714</v>
      </c>
      <c r="AF47" s="330">
        <v>50577.403395864414</v>
      </c>
      <c r="AG47" s="330">
        <v>50585.721753740349</v>
      </c>
      <c r="AH47" s="330">
        <v>50594.289662352559</v>
      </c>
      <c r="AI47" s="330">
        <v>50600.124799999998</v>
      </c>
      <c r="AJ47" s="330">
        <v>50600.124799999998</v>
      </c>
      <c r="AK47" s="330">
        <v>50600.124799999998</v>
      </c>
      <c r="AL47" s="330">
        <v>50600.124799999998</v>
      </c>
      <c r="AN47" s="31"/>
    </row>
    <row r="48" spans="1:40" ht="3.75" customHeight="1" outlineLevel="1">
      <c r="C48" s="247"/>
      <c r="E48" s="55"/>
      <c r="F48" s="56"/>
      <c r="G48" s="57"/>
      <c r="H48" s="57"/>
      <c r="I48" s="57"/>
      <c r="J48" s="58"/>
      <c r="K48" s="57"/>
      <c r="L48" s="58"/>
      <c r="M48" s="57"/>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row>
    <row r="49" spans="1:40" s="60" customFormat="1" outlineLevel="1">
      <c r="A49" s="59"/>
      <c r="C49" s="247"/>
      <c r="E49" s="52" t="s">
        <v>481</v>
      </c>
      <c r="F49" s="311"/>
      <c r="G49" s="317"/>
      <c r="H49" s="312"/>
      <c r="I49" s="318"/>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N49" s="59"/>
    </row>
    <row r="50" spans="1:40" outlineLevel="1">
      <c r="C50" s="51"/>
      <c r="E50" s="53" t="s">
        <v>405</v>
      </c>
      <c r="F50" s="311"/>
      <c r="G50" s="319"/>
      <c r="H50" s="312"/>
      <c r="I50" s="320">
        <v>184.05742465753423</v>
      </c>
      <c r="J50" s="320">
        <v>315.52701369863013</v>
      </c>
      <c r="K50" s="320">
        <v>315.52701369863013</v>
      </c>
      <c r="L50" s="320">
        <v>315.52701369863013</v>
      </c>
      <c r="M50" s="320">
        <v>315.52701369863013</v>
      </c>
      <c r="N50" s="320">
        <v>315.52701369863013</v>
      </c>
      <c r="O50" s="320">
        <v>315.52701369863013</v>
      </c>
      <c r="P50" s="320">
        <v>315.52701369863013</v>
      </c>
      <c r="Q50" s="320">
        <v>315.52701369863013</v>
      </c>
      <c r="R50" s="320">
        <v>315.52701369863013</v>
      </c>
      <c r="S50" s="320">
        <v>315.52701369863013</v>
      </c>
      <c r="T50" s="320">
        <v>315.52701369863013</v>
      </c>
      <c r="U50" s="320">
        <v>315.52701369863013</v>
      </c>
      <c r="V50" s="320">
        <v>315.52701369863013</v>
      </c>
      <c r="W50" s="320">
        <v>315.52701369863013</v>
      </c>
      <c r="X50" s="320">
        <v>315.52701369863013</v>
      </c>
      <c r="Y50" s="320">
        <v>315.52701369863013</v>
      </c>
      <c r="Z50" s="320">
        <v>315.52701369863013</v>
      </c>
      <c r="AA50" s="320">
        <v>315.52701369863013</v>
      </c>
      <c r="AB50" s="320">
        <v>315.52701369863013</v>
      </c>
      <c r="AC50" s="320">
        <v>315.52701369863013</v>
      </c>
      <c r="AD50" s="320">
        <v>315.52701369863013</v>
      </c>
      <c r="AE50" s="320">
        <v>315.52701369863013</v>
      </c>
      <c r="AF50" s="320">
        <v>315.52701369863013</v>
      </c>
      <c r="AG50" s="320">
        <v>315.52701369863013</v>
      </c>
      <c r="AH50" s="320">
        <v>315.52701369863013</v>
      </c>
      <c r="AI50" s="320">
        <v>315.52701369863013</v>
      </c>
      <c r="AJ50" s="320">
        <v>315.52701369863013</v>
      </c>
      <c r="AK50" s="320">
        <v>315.52701369863013</v>
      </c>
      <c r="AL50" s="320">
        <v>315.52701369863013</v>
      </c>
    </row>
    <row r="51" spans="1:40" outlineLevel="1">
      <c r="C51" s="51"/>
      <c r="E51" s="78" t="s">
        <v>406</v>
      </c>
      <c r="F51" s="325"/>
      <c r="G51" s="326"/>
      <c r="H51" s="327"/>
      <c r="I51" s="328">
        <v>0</v>
      </c>
      <c r="J51" s="328">
        <v>0</v>
      </c>
      <c r="K51" s="328">
        <v>0</v>
      </c>
      <c r="L51" s="328">
        <v>0</v>
      </c>
      <c r="M51" s="328">
        <v>0</v>
      </c>
      <c r="N51" s="328">
        <v>0</v>
      </c>
      <c r="O51" s="328">
        <v>0</v>
      </c>
      <c r="P51" s="328">
        <v>0</v>
      </c>
      <c r="Q51" s="328">
        <v>0</v>
      </c>
      <c r="R51" s="328">
        <v>0</v>
      </c>
      <c r="S51" s="328">
        <v>0</v>
      </c>
      <c r="T51" s="328">
        <v>0</v>
      </c>
      <c r="U51" s="328">
        <v>0</v>
      </c>
      <c r="V51" s="328">
        <v>0</v>
      </c>
      <c r="W51" s="328">
        <v>0</v>
      </c>
      <c r="X51" s="328">
        <v>0</v>
      </c>
      <c r="Y51" s="328">
        <v>0</v>
      </c>
      <c r="Z51" s="328">
        <v>0</v>
      </c>
      <c r="AA51" s="328">
        <v>0</v>
      </c>
      <c r="AB51" s="328">
        <v>0</v>
      </c>
      <c r="AC51" s="328">
        <v>0</v>
      </c>
      <c r="AD51" s="328">
        <v>0</v>
      </c>
      <c r="AE51" s="328">
        <v>0</v>
      </c>
      <c r="AF51" s="328">
        <v>0</v>
      </c>
      <c r="AG51" s="328">
        <v>0</v>
      </c>
      <c r="AH51" s="328">
        <v>0</v>
      </c>
      <c r="AI51" s="328">
        <v>0</v>
      </c>
      <c r="AJ51" s="328">
        <v>0</v>
      </c>
      <c r="AK51" s="328">
        <v>0</v>
      </c>
      <c r="AL51" s="328">
        <v>0</v>
      </c>
    </row>
    <row r="52" spans="1:40" outlineLevel="1">
      <c r="C52" s="51"/>
      <c r="E52" s="78" t="s">
        <v>407</v>
      </c>
      <c r="F52" s="325"/>
      <c r="G52" s="326"/>
      <c r="H52" s="327"/>
      <c r="I52" s="328">
        <v>184.05742465753423</v>
      </c>
      <c r="J52" s="328">
        <v>315.52701369863013</v>
      </c>
      <c r="K52" s="328">
        <v>315.52701369863013</v>
      </c>
      <c r="L52" s="328">
        <v>315.52701369863013</v>
      </c>
      <c r="M52" s="328">
        <v>315.52701369863013</v>
      </c>
      <c r="N52" s="328">
        <v>315.52701369863013</v>
      </c>
      <c r="O52" s="328">
        <v>315.52701369863013</v>
      </c>
      <c r="P52" s="328">
        <v>315.52701369863013</v>
      </c>
      <c r="Q52" s="328">
        <v>315.52701369863013</v>
      </c>
      <c r="R52" s="328">
        <v>315.52701369863013</v>
      </c>
      <c r="S52" s="328">
        <v>315.52701369863013</v>
      </c>
      <c r="T52" s="328">
        <v>315.52701369863013</v>
      </c>
      <c r="U52" s="328">
        <v>315.52701369863013</v>
      </c>
      <c r="V52" s="328">
        <v>315.52701369863013</v>
      </c>
      <c r="W52" s="328">
        <v>315.52701369863013</v>
      </c>
      <c r="X52" s="328">
        <v>315.52701369863013</v>
      </c>
      <c r="Y52" s="328">
        <v>315.52701369863013</v>
      </c>
      <c r="Z52" s="328">
        <v>315.52701369863013</v>
      </c>
      <c r="AA52" s="328">
        <v>315.52701369863013</v>
      </c>
      <c r="AB52" s="328">
        <v>315.52701369863013</v>
      </c>
      <c r="AC52" s="328">
        <v>315.52701369863013</v>
      </c>
      <c r="AD52" s="328">
        <v>315.52701369863013</v>
      </c>
      <c r="AE52" s="328">
        <v>315.52701369863013</v>
      </c>
      <c r="AF52" s="328">
        <v>315.52701369863013</v>
      </c>
      <c r="AG52" s="328">
        <v>315.52701369863013</v>
      </c>
      <c r="AH52" s="328">
        <v>315.52701369863013</v>
      </c>
      <c r="AI52" s="328">
        <v>315.52701369863013</v>
      </c>
      <c r="AJ52" s="328">
        <v>315.52701369863013</v>
      </c>
      <c r="AK52" s="328">
        <v>315.52701369863013</v>
      </c>
      <c r="AL52" s="328">
        <v>315.52701369863013</v>
      </c>
    </row>
    <row r="53" spans="1:40" outlineLevel="1">
      <c r="C53" s="51"/>
      <c r="E53" s="53" t="s">
        <v>212</v>
      </c>
      <c r="F53" s="325">
        <v>0</v>
      </c>
      <c r="G53" s="328">
        <v>0</v>
      </c>
      <c r="H53" s="327">
        <v>0</v>
      </c>
      <c r="I53" s="328">
        <v>125.15904876712328</v>
      </c>
      <c r="J53" s="328">
        <v>357.59728219178078</v>
      </c>
      <c r="K53" s="328">
        <v>357.59728219178078</v>
      </c>
      <c r="L53" s="328">
        <v>357.59728219178078</v>
      </c>
      <c r="M53" s="328">
        <v>357.59728219178078</v>
      </c>
      <c r="N53" s="328">
        <v>357.59728219178078</v>
      </c>
      <c r="O53" s="328">
        <v>357.59728219178078</v>
      </c>
      <c r="P53" s="328">
        <v>357.59728219178078</v>
      </c>
      <c r="Q53" s="328">
        <v>357.59728219178078</v>
      </c>
      <c r="R53" s="328">
        <v>357.59728219178078</v>
      </c>
      <c r="S53" s="328">
        <v>357.59728219178078</v>
      </c>
      <c r="T53" s="328">
        <v>357.59728219178078</v>
      </c>
      <c r="U53" s="328">
        <v>357.59728219178078</v>
      </c>
      <c r="V53" s="328">
        <v>357.59728219178078</v>
      </c>
      <c r="W53" s="328">
        <v>357.59728219178078</v>
      </c>
      <c r="X53" s="328">
        <v>357.59728219178078</v>
      </c>
      <c r="Y53" s="328">
        <v>357.59728219178078</v>
      </c>
      <c r="Z53" s="328">
        <v>357.59728219178078</v>
      </c>
      <c r="AA53" s="328">
        <v>357.59728219178078</v>
      </c>
      <c r="AB53" s="328">
        <v>357.59728219178078</v>
      </c>
      <c r="AC53" s="328">
        <v>357.59728219178078</v>
      </c>
      <c r="AD53" s="328">
        <v>357.59728219178078</v>
      </c>
      <c r="AE53" s="328">
        <v>357.59728219178078</v>
      </c>
      <c r="AF53" s="328">
        <v>357.59728219178078</v>
      </c>
      <c r="AG53" s="328">
        <v>357.59728219178078</v>
      </c>
      <c r="AH53" s="328">
        <v>357.59728219178078</v>
      </c>
      <c r="AI53" s="328">
        <v>357.59728219178078</v>
      </c>
      <c r="AJ53" s="328">
        <v>357.59728219178078</v>
      </c>
      <c r="AK53" s="328">
        <v>357.59728219178078</v>
      </c>
      <c r="AL53" s="328">
        <v>357.59728219178078</v>
      </c>
    </row>
    <row r="54" spans="1:40" outlineLevel="1">
      <c r="C54" s="51"/>
      <c r="E54" s="53" t="s">
        <v>256</v>
      </c>
      <c r="F54" s="416"/>
      <c r="G54" s="328"/>
      <c r="H54" s="328"/>
      <c r="I54" s="328"/>
      <c r="J54" s="328"/>
      <c r="K54" s="328"/>
      <c r="L54" s="328"/>
      <c r="M54" s="328"/>
      <c r="N54" s="328"/>
      <c r="O54" s="328"/>
      <c r="P54" s="328"/>
      <c r="Q54" s="328"/>
      <c r="R54" s="328"/>
      <c r="S54" s="328"/>
      <c r="T54" s="328"/>
      <c r="U54" s="328"/>
      <c r="V54" s="328"/>
      <c r="W54" s="328"/>
      <c r="X54" s="328"/>
      <c r="Y54" s="328"/>
      <c r="Z54" s="328"/>
      <c r="AA54" s="328"/>
      <c r="AB54" s="328"/>
      <c r="AC54" s="328"/>
      <c r="AD54" s="328"/>
      <c r="AE54" s="328"/>
      <c r="AF54" s="328"/>
      <c r="AG54" s="328"/>
      <c r="AH54" s="328"/>
      <c r="AI54" s="328"/>
      <c r="AJ54" s="328"/>
      <c r="AK54" s="328"/>
      <c r="AL54" s="328"/>
    </row>
    <row r="55" spans="1:40" outlineLevel="1">
      <c r="C55" s="51"/>
      <c r="E55" s="53" t="s">
        <v>257</v>
      </c>
      <c r="F55" s="416"/>
      <c r="G55" s="328"/>
      <c r="H55" s="328"/>
      <c r="I55" s="328"/>
      <c r="J55" s="328"/>
      <c r="K55" s="328"/>
      <c r="L55" s="328"/>
      <c r="M55" s="328"/>
      <c r="N55" s="328"/>
      <c r="O55" s="328"/>
      <c r="P55" s="328"/>
      <c r="Q55" s="328"/>
      <c r="R55" s="328"/>
      <c r="S55" s="328"/>
      <c r="T55" s="328"/>
      <c r="U55" s="328"/>
      <c r="V55" s="328"/>
      <c r="W55" s="328"/>
      <c r="X55" s="328"/>
      <c r="Y55" s="328"/>
      <c r="Z55" s="328"/>
      <c r="AA55" s="328"/>
      <c r="AB55" s="328"/>
      <c r="AC55" s="328"/>
      <c r="AD55" s="328"/>
      <c r="AE55" s="328"/>
      <c r="AF55" s="328"/>
      <c r="AG55" s="328"/>
      <c r="AH55" s="328"/>
      <c r="AI55" s="328"/>
      <c r="AJ55" s="328"/>
      <c r="AK55" s="328"/>
      <c r="AL55" s="328"/>
    </row>
    <row r="56" spans="1:40" outlineLevel="1">
      <c r="C56" s="51"/>
      <c r="E56" s="53" t="s">
        <v>258</v>
      </c>
      <c r="F56" s="416"/>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328"/>
      <c r="AH56" s="328"/>
      <c r="AI56" s="328"/>
      <c r="AJ56" s="328"/>
      <c r="AK56" s="328"/>
      <c r="AL56" s="328"/>
    </row>
    <row r="57" spans="1:40" outlineLevel="1">
      <c r="C57" s="51"/>
      <c r="E57" s="53" t="s">
        <v>259</v>
      </c>
      <c r="F57" s="416"/>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8"/>
    </row>
    <row r="58" spans="1:40" s="60" customFormat="1" outlineLevel="1">
      <c r="A58" s="59"/>
      <c r="C58" s="247"/>
      <c r="E58" s="54" t="s">
        <v>214</v>
      </c>
      <c r="F58" s="329">
        <v>0</v>
      </c>
      <c r="G58" s="330">
        <v>0</v>
      </c>
      <c r="H58" s="330">
        <v>0</v>
      </c>
      <c r="I58" s="330">
        <v>309.21647342465752</v>
      </c>
      <c r="J58" s="330">
        <v>673.12429589041085</v>
      </c>
      <c r="K58" s="330">
        <v>673.12429589041085</v>
      </c>
      <c r="L58" s="330">
        <v>673.12429589041085</v>
      </c>
      <c r="M58" s="330">
        <v>673.12429589041085</v>
      </c>
      <c r="N58" s="330">
        <v>673.12429589041085</v>
      </c>
      <c r="O58" s="330">
        <v>673.12429589041085</v>
      </c>
      <c r="P58" s="330">
        <v>673.12429589041085</v>
      </c>
      <c r="Q58" s="330">
        <v>673.12429589041085</v>
      </c>
      <c r="R58" s="330">
        <v>673.12429589041085</v>
      </c>
      <c r="S58" s="330">
        <v>673.12429589041085</v>
      </c>
      <c r="T58" s="330">
        <v>673.12429589041085</v>
      </c>
      <c r="U58" s="330">
        <v>673.12429589041085</v>
      </c>
      <c r="V58" s="330">
        <v>673.12429589041085</v>
      </c>
      <c r="W58" s="330">
        <v>673.12429589041085</v>
      </c>
      <c r="X58" s="330">
        <v>673.12429589041085</v>
      </c>
      <c r="Y58" s="330">
        <v>673.12429589041085</v>
      </c>
      <c r="Z58" s="330">
        <v>673.12429589041085</v>
      </c>
      <c r="AA58" s="330">
        <v>673.12429589041085</v>
      </c>
      <c r="AB58" s="330">
        <v>673.12429589041085</v>
      </c>
      <c r="AC58" s="330">
        <v>673.12429589041085</v>
      </c>
      <c r="AD58" s="330">
        <v>673.12429589041085</v>
      </c>
      <c r="AE58" s="330">
        <v>673.12429589041085</v>
      </c>
      <c r="AF58" s="330">
        <v>673.12429589041085</v>
      </c>
      <c r="AG58" s="330">
        <v>673.12429589041085</v>
      </c>
      <c r="AH58" s="330">
        <v>673.12429589041085</v>
      </c>
      <c r="AI58" s="330">
        <v>673.12429589041085</v>
      </c>
      <c r="AJ58" s="330">
        <v>673.12429589041085</v>
      </c>
      <c r="AK58" s="330">
        <v>673.12429589041085</v>
      </c>
      <c r="AL58" s="330">
        <v>673.12429589041085</v>
      </c>
      <c r="AN58" s="31"/>
    </row>
    <row r="59" spans="1:40" ht="3.75" customHeight="1" outlineLevel="1">
      <c r="C59" s="247"/>
      <c r="E59" s="55"/>
      <c r="F59" s="56"/>
      <c r="G59" s="57"/>
      <c r="H59" s="57"/>
      <c r="I59" s="57"/>
      <c r="J59" s="58"/>
      <c r="K59" s="57"/>
      <c r="L59" s="58"/>
      <c r="M59" s="57"/>
      <c r="N59" s="58"/>
      <c r="O59" s="58"/>
      <c r="P59" s="58"/>
      <c r="Q59" s="58"/>
      <c r="R59" s="58"/>
      <c r="S59" s="58"/>
      <c r="T59" s="58"/>
      <c r="U59" s="58"/>
      <c r="V59" s="58"/>
      <c r="W59" s="58"/>
      <c r="X59" s="58"/>
      <c r="Y59" s="58"/>
      <c r="Z59" s="58"/>
      <c r="AA59" s="58"/>
      <c r="AB59" s="58"/>
      <c r="AC59" s="58"/>
      <c r="AD59" s="58"/>
      <c r="AE59" s="58"/>
      <c r="AF59" s="58"/>
      <c r="AG59" s="58"/>
      <c r="AH59" s="58"/>
      <c r="AI59" s="58"/>
      <c r="AJ59" s="58"/>
      <c r="AK59" s="58"/>
      <c r="AL59" s="58"/>
    </row>
    <row r="60" spans="1:40" s="60" customFormat="1" outlineLevel="1">
      <c r="A60" s="59"/>
      <c r="C60" s="247"/>
      <c r="E60" s="52" t="s">
        <v>103</v>
      </c>
      <c r="F60" s="311"/>
      <c r="G60" s="317"/>
      <c r="H60" s="312"/>
      <c r="I60" s="318"/>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N60" s="59"/>
    </row>
    <row r="61" spans="1:40" outlineLevel="1">
      <c r="C61" s="51"/>
      <c r="E61" s="53" t="s">
        <v>405</v>
      </c>
      <c r="F61" s="325">
        <v>0</v>
      </c>
      <c r="G61" s="325">
        <v>0</v>
      </c>
      <c r="H61" s="325">
        <v>0</v>
      </c>
      <c r="I61" s="328">
        <v>2503.1809753424654</v>
      </c>
      <c r="J61" s="328">
        <v>7546.3544109589038</v>
      </c>
      <c r="K61" s="328">
        <v>7677.8239999999996</v>
      </c>
      <c r="L61" s="328">
        <v>7677.8239999999996</v>
      </c>
      <c r="M61" s="328">
        <v>7677.8239999999996</v>
      </c>
      <c r="N61" s="328">
        <v>7677.8239999999996</v>
      </c>
      <c r="O61" s="328">
        <v>7677.8239999999996</v>
      </c>
      <c r="P61" s="328">
        <v>7677.8239999999996</v>
      </c>
      <c r="Q61" s="328">
        <v>7677.8239999999996</v>
      </c>
      <c r="R61" s="328">
        <v>7677.8239999999996</v>
      </c>
      <c r="S61" s="328">
        <v>7677.8239999999996</v>
      </c>
      <c r="T61" s="328">
        <v>7677.8239999999996</v>
      </c>
      <c r="U61" s="328">
        <v>7677.8239999999996</v>
      </c>
      <c r="V61" s="328">
        <v>7677.8239999999996</v>
      </c>
      <c r="W61" s="328">
        <v>7677.8239999999996</v>
      </c>
      <c r="X61" s="328">
        <v>7677.8239999999996</v>
      </c>
      <c r="Y61" s="328">
        <v>7677.8239999999996</v>
      </c>
      <c r="Z61" s="328">
        <v>7677.8239999999996</v>
      </c>
      <c r="AA61" s="328">
        <v>7677.8239999999996</v>
      </c>
      <c r="AB61" s="328">
        <v>7677.8239999999996</v>
      </c>
      <c r="AC61" s="328">
        <v>7677.8239999999996</v>
      </c>
      <c r="AD61" s="328">
        <v>7677.8239999999996</v>
      </c>
      <c r="AE61" s="328">
        <v>7677.8239999999996</v>
      </c>
      <c r="AF61" s="328">
        <v>7677.8239999999996</v>
      </c>
      <c r="AG61" s="328">
        <v>7677.8239999999996</v>
      </c>
      <c r="AH61" s="328">
        <v>7677.8239999999996</v>
      </c>
      <c r="AI61" s="328">
        <v>7677.8239999999996</v>
      </c>
      <c r="AJ61" s="328">
        <v>7677.8239999999996</v>
      </c>
      <c r="AK61" s="328">
        <v>7677.8239999999996</v>
      </c>
      <c r="AL61" s="328">
        <v>7677.8239999999996</v>
      </c>
    </row>
    <row r="62" spans="1:40" outlineLevel="1">
      <c r="C62" s="51"/>
      <c r="E62" s="78" t="s">
        <v>406</v>
      </c>
      <c r="F62" s="325">
        <v>0</v>
      </c>
      <c r="G62" s="325">
        <v>0</v>
      </c>
      <c r="H62" s="325">
        <v>0</v>
      </c>
      <c r="I62" s="328">
        <v>0</v>
      </c>
      <c r="J62" s="328">
        <v>0</v>
      </c>
      <c r="K62" s="328">
        <v>0</v>
      </c>
      <c r="L62" s="328">
        <v>0</v>
      </c>
      <c r="M62" s="328">
        <v>0</v>
      </c>
      <c r="N62" s="328">
        <v>0</v>
      </c>
      <c r="O62" s="328">
        <v>0</v>
      </c>
      <c r="P62" s="328">
        <v>0</v>
      </c>
      <c r="Q62" s="328">
        <v>0</v>
      </c>
      <c r="R62" s="328">
        <v>0</v>
      </c>
      <c r="S62" s="328">
        <v>0</v>
      </c>
      <c r="T62" s="328">
        <v>0</v>
      </c>
      <c r="U62" s="328">
        <v>0</v>
      </c>
      <c r="V62" s="328">
        <v>0</v>
      </c>
      <c r="W62" s="328">
        <v>0</v>
      </c>
      <c r="X62" s="328">
        <v>0</v>
      </c>
      <c r="Y62" s="328">
        <v>0</v>
      </c>
      <c r="Z62" s="328">
        <v>0</v>
      </c>
      <c r="AA62" s="328">
        <v>0</v>
      </c>
      <c r="AB62" s="328">
        <v>0</v>
      </c>
      <c r="AC62" s="328">
        <v>0</v>
      </c>
      <c r="AD62" s="328">
        <v>0</v>
      </c>
      <c r="AE62" s="328">
        <v>0</v>
      </c>
      <c r="AF62" s="328">
        <v>0</v>
      </c>
      <c r="AG62" s="328">
        <v>0</v>
      </c>
      <c r="AH62" s="328">
        <v>0</v>
      </c>
      <c r="AI62" s="328">
        <v>0</v>
      </c>
      <c r="AJ62" s="328">
        <v>0</v>
      </c>
      <c r="AK62" s="328">
        <v>0</v>
      </c>
      <c r="AL62" s="328">
        <v>0</v>
      </c>
    </row>
    <row r="63" spans="1:40" outlineLevel="1">
      <c r="C63" s="51"/>
      <c r="E63" s="78" t="s">
        <v>407</v>
      </c>
      <c r="F63" s="325">
        <v>0</v>
      </c>
      <c r="G63" s="325">
        <v>0</v>
      </c>
      <c r="H63" s="325">
        <v>0</v>
      </c>
      <c r="I63" s="328">
        <v>2503.1809753424654</v>
      </c>
      <c r="J63" s="328">
        <v>7546.3544109589038</v>
      </c>
      <c r="K63" s="328">
        <v>7677.8239999999996</v>
      </c>
      <c r="L63" s="328">
        <v>7677.8239999999996</v>
      </c>
      <c r="M63" s="328">
        <v>7677.8239999999996</v>
      </c>
      <c r="N63" s="328">
        <v>7677.8239999999996</v>
      </c>
      <c r="O63" s="328">
        <v>7677.8239999999996</v>
      </c>
      <c r="P63" s="328">
        <v>7677.8239999999996</v>
      </c>
      <c r="Q63" s="328">
        <v>7677.8239999999996</v>
      </c>
      <c r="R63" s="328">
        <v>7677.8239999999996</v>
      </c>
      <c r="S63" s="328">
        <v>7677.8239999999996</v>
      </c>
      <c r="T63" s="328">
        <v>7677.8239999999996</v>
      </c>
      <c r="U63" s="328">
        <v>7677.8239999999996</v>
      </c>
      <c r="V63" s="328">
        <v>7677.8239999999996</v>
      </c>
      <c r="W63" s="328">
        <v>7677.8239999999996</v>
      </c>
      <c r="X63" s="328">
        <v>7677.8239999999996</v>
      </c>
      <c r="Y63" s="328">
        <v>7677.8239999999996</v>
      </c>
      <c r="Z63" s="328">
        <v>7677.8239999999996</v>
      </c>
      <c r="AA63" s="328">
        <v>7677.8239999999996</v>
      </c>
      <c r="AB63" s="328">
        <v>7677.8239999999996</v>
      </c>
      <c r="AC63" s="328">
        <v>7677.8239999999996</v>
      </c>
      <c r="AD63" s="328">
        <v>7677.8239999999996</v>
      </c>
      <c r="AE63" s="328">
        <v>7677.8239999999996</v>
      </c>
      <c r="AF63" s="328">
        <v>7677.8239999999996</v>
      </c>
      <c r="AG63" s="328">
        <v>7677.8239999999996</v>
      </c>
      <c r="AH63" s="328">
        <v>7677.8239999999996</v>
      </c>
      <c r="AI63" s="328">
        <v>7677.8239999999996</v>
      </c>
      <c r="AJ63" s="328">
        <v>7677.8239999999996</v>
      </c>
      <c r="AK63" s="328">
        <v>7677.8239999999996</v>
      </c>
      <c r="AL63" s="328">
        <v>7677.8239999999996</v>
      </c>
    </row>
    <row r="64" spans="1:40" outlineLevel="1">
      <c r="C64" s="51"/>
      <c r="E64" s="53" t="s">
        <v>212</v>
      </c>
      <c r="F64" s="325">
        <v>0</v>
      </c>
      <c r="G64" s="325">
        <v>0</v>
      </c>
      <c r="H64" s="325">
        <v>0</v>
      </c>
      <c r="I64" s="328">
        <v>4443.1462312328767</v>
      </c>
      <c r="J64" s="328">
        <v>12819.862566575342</v>
      </c>
      <c r="K64" s="328">
        <v>13052.300799999999</v>
      </c>
      <c r="L64" s="328">
        <v>13052.300799999999</v>
      </c>
      <c r="M64" s="328">
        <v>13052.300799999999</v>
      </c>
      <c r="N64" s="328">
        <v>13052.300799999999</v>
      </c>
      <c r="O64" s="328">
        <v>13052.300799999999</v>
      </c>
      <c r="P64" s="328">
        <v>13052.300799999999</v>
      </c>
      <c r="Q64" s="328">
        <v>13052.300799999999</v>
      </c>
      <c r="R64" s="328">
        <v>13052.300799999999</v>
      </c>
      <c r="S64" s="328">
        <v>13052.300799999999</v>
      </c>
      <c r="T64" s="328">
        <v>13052.300799999999</v>
      </c>
      <c r="U64" s="328">
        <v>13052.300799999999</v>
      </c>
      <c r="V64" s="328">
        <v>13052.300799999999</v>
      </c>
      <c r="W64" s="328">
        <v>13052.300799999999</v>
      </c>
      <c r="X64" s="328">
        <v>13052.300799999999</v>
      </c>
      <c r="Y64" s="328">
        <v>13052.300799999999</v>
      </c>
      <c r="Z64" s="328">
        <v>13052.300799999999</v>
      </c>
      <c r="AA64" s="328">
        <v>13052.300799999999</v>
      </c>
      <c r="AB64" s="328">
        <v>13052.300799999999</v>
      </c>
      <c r="AC64" s="328">
        <v>13052.300799999999</v>
      </c>
      <c r="AD64" s="328">
        <v>13052.300799999999</v>
      </c>
      <c r="AE64" s="328">
        <v>13052.300799999999</v>
      </c>
      <c r="AF64" s="328">
        <v>13052.300799999999</v>
      </c>
      <c r="AG64" s="328">
        <v>13052.300799999999</v>
      </c>
      <c r="AH64" s="328">
        <v>13052.300799999999</v>
      </c>
      <c r="AI64" s="328">
        <v>13052.300799999999</v>
      </c>
      <c r="AJ64" s="328">
        <v>13052.300799999999</v>
      </c>
      <c r="AK64" s="328">
        <v>13052.300799999999</v>
      </c>
      <c r="AL64" s="328">
        <v>13052.300799999999</v>
      </c>
    </row>
    <row r="65" spans="1:40" outlineLevel="1">
      <c r="C65" s="51"/>
      <c r="E65" s="53" t="s">
        <v>256</v>
      </c>
      <c r="F65" s="416">
        <v>196</v>
      </c>
      <c r="G65" s="416">
        <v>199.92000000000002</v>
      </c>
      <c r="H65" s="416">
        <v>203.91840000000002</v>
      </c>
      <c r="I65" s="328">
        <v>207.99676800000003</v>
      </c>
      <c r="J65" s="328">
        <v>212.15670336000002</v>
      </c>
      <c r="K65" s="328">
        <v>216.39983742720003</v>
      </c>
      <c r="L65" s="328">
        <v>222.89183255001603</v>
      </c>
      <c r="M65" s="328">
        <v>229.57858752651651</v>
      </c>
      <c r="N65" s="328">
        <v>236.465945152312</v>
      </c>
      <c r="O65" s="328">
        <v>243.55992350688138</v>
      </c>
      <c r="P65" s="328">
        <v>250.86672121208781</v>
      </c>
      <c r="Q65" s="328">
        <v>258.39272284845043</v>
      </c>
      <c r="R65" s="328">
        <v>266.14450453390396</v>
      </c>
      <c r="S65" s="328">
        <v>270</v>
      </c>
      <c r="T65" s="328">
        <v>270</v>
      </c>
      <c r="U65" s="328">
        <v>270</v>
      </c>
      <c r="V65" s="328">
        <v>270</v>
      </c>
      <c r="W65" s="328">
        <v>270</v>
      </c>
      <c r="X65" s="328">
        <v>270</v>
      </c>
      <c r="Y65" s="328">
        <v>270</v>
      </c>
      <c r="Z65" s="328">
        <v>270</v>
      </c>
      <c r="AA65" s="328">
        <v>270</v>
      </c>
      <c r="AB65" s="328">
        <v>270</v>
      </c>
      <c r="AC65" s="328">
        <v>270</v>
      </c>
      <c r="AD65" s="328">
        <v>270</v>
      </c>
      <c r="AE65" s="328">
        <v>270</v>
      </c>
      <c r="AF65" s="328">
        <v>270</v>
      </c>
      <c r="AG65" s="328">
        <v>270</v>
      </c>
      <c r="AH65" s="328">
        <v>270</v>
      </c>
      <c r="AI65" s="328">
        <v>270</v>
      </c>
      <c r="AJ65" s="328">
        <v>270</v>
      </c>
      <c r="AK65" s="328">
        <v>270</v>
      </c>
      <c r="AL65" s="328">
        <v>270</v>
      </c>
    </row>
    <row r="66" spans="1:40" outlineLevel="1">
      <c r="C66" s="51"/>
      <c r="E66" s="53" t="s">
        <v>257</v>
      </c>
      <c r="F66" s="416">
        <v>135</v>
      </c>
      <c r="G66" s="416">
        <v>137.69999999999999</v>
      </c>
      <c r="H66" s="416">
        <v>140.45399999999998</v>
      </c>
      <c r="I66" s="328">
        <v>143.26307999999997</v>
      </c>
      <c r="J66" s="328">
        <v>146.12834159999997</v>
      </c>
      <c r="K66" s="328">
        <v>149.05090843199997</v>
      </c>
      <c r="L66" s="328">
        <v>153.52243568495999</v>
      </c>
      <c r="M66" s="328">
        <v>158.1281087555088</v>
      </c>
      <c r="N66" s="328">
        <v>162.87195201817408</v>
      </c>
      <c r="O66" s="328">
        <v>167.75811057871931</v>
      </c>
      <c r="P66" s="328">
        <v>172.7908538960809</v>
      </c>
      <c r="Q66" s="328">
        <v>177.97457951296334</v>
      </c>
      <c r="R66" s="328">
        <v>183.31381689835226</v>
      </c>
      <c r="S66" s="328">
        <v>188.81323140530284</v>
      </c>
      <c r="T66" s="328">
        <v>194.47762834746194</v>
      </c>
      <c r="U66" s="328">
        <v>200.31195719788582</v>
      </c>
      <c r="V66" s="328">
        <v>206.32131591382239</v>
      </c>
      <c r="W66" s="328">
        <v>212.51095539123708</v>
      </c>
      <c r="X66" s="328">
        <v>218.88628405297419</v>
      </c>
      <c r="Y66" s="328">
        <v>225.45287257456343</v>
      </c>
      <c r="Z66" s="328">
        <v>232.21645875180033</v>
      </c>
      <c r="AA66" s="328">
        <v>239.18295251435435</v>
      </c>
      <c r="AB66" s="328">
        <v>246.358441089785</v>
      </c>
      <c r="AC66" s="328">
        <v>253.74919432247856</v>
      </c>
      <c r="AD66" s="328">
        <v>261.3616701521529</v>
      </c>
      <c r="AE66" s="328">
        <v>269.20252025671749</v>
      </c>
      <c r="AF66" s="328">
        <v>277.278595864419</v>
      </c>
      <c r="AG66" s="328">
        <v>285.59695374035158</v>
      </c>
      <c r="AH66" s="328">
        <v>294.16486235256212</v>
      </c>
      <c r="AI66" s="328">
        <v>300</v>
      </c>
      <c r="AJ66" s="328">
        <v>300</v>
      </c>
      <c r="AK66" s="328">
        <v>300</v>
      </c>
      <c r="AL66" s="328">
        <v>300</v>
      </c>
    </row>
    <row r="67" spans="1:40" outlineLevel="1">
      <c r="C67" s="51"/>
      <c r="E67" s="53" t="s">
        <v>258</v>
      </c>
      <c r="F67" s="416">
        <v>3500</v>
      </c>
      <c r="G67" s="416">
        <v>4375</v>
      </c>
      <c r="H67" s="416">
        <v>4812.5</v>
      </c>
      <c r="I67" s="328">
        <v>5293.75</v>
      </c>
      <c r="J67" s="328">
        <v>5823.1250000000009</v>
      </c>
      <c r="K67" s="328">
        <v>6114.2812500000009</v>
      </c>
      <c r="L67" s="328">
        <v>6419.9953125000011</v>
      </c>
      <c r="M67" s="328">
        <v>6300</v>
      </c>
      <c r="N67" s="328">
        <v>6300</v>
      </c>
      <c r="O67" s="328">
        <v>6300</v>
      </c>
      <c r="P67" s="328">
        <v>6300</v>
      </c>
      <c r="Q67" s="328">
        <v>6300</v>
      </c>
      <c r="R67" s="328">
        <v>6300</v>
      </c>
      <c r="S67" s="328">
        <v>6300</v>
      </c>
      <c r="T67" s="328">
        <v>6300</v>
      </c>
      <c r="U67" s="328">
        <v>6300</v>
      </c>
      <c r="V67" s="328">
        <v>6300</v>
      </c>
      <c r="W67" s="328">
        <v>6300</v>
      </c>
      <c r="X67" s="328">
        <v>6300</v>
      </c>
      <c r="Y67" s="328">
        <v>6300</v>
      </c>
      <c r="Z67" s="328">
        <v>6300</v>
      </c>
      <c r="AA67" s="328">
        <v>6300</v>
      </c>
      <c r="AB67" s="328">
        <v>6300</v>
      </c>
      <c r="AC67" s="328">
        <v>6300</v>
      </c>
      <c r="AD67" s="328">
        <v>6300</v>
      </c>
      <c r="AE67" s="328">
        <v>6300</v>
      </c>
      <c r="AF67" s="328">
        <v>6300</v>
      </c>
      <c r="AG67" s="328">
        <v>6300</v>
      </c>
      <c r="AH67" s="328">
        <v>6300</v>
      </c>
      <c r="AI67" s="328">
        <v>6300</v>
      </c>
      <c r="AJ67" s="328">
        <v>6300</v>
      </c>
      <c r="AK67" s="328">
        <v>6300</v>
      </c>
      <c r="AL67" s="328">
        <v>6300</v>
      </c>
    </row>
    <row r="68" spans="1:40" outlineLevel="1">
      <c r="C68" s="51"/>
      <c r="E68" s="53" t="s">
        <v>259</v>
      </c>
      <c r="F68" s="416">
        <v>13000</v>
      </c>
      <c r="G68" s="416">
        <v>15600</v>
      </c>
      <c r="H68" s="416">
        <v>17160</v>
      </c>
      <c r="I68" s="328">
        <v>18876</v>
      </c>
      <c r="J68" s="328">
        <v>20763.600000000002</v>
      </c>
      <c r="K68" s="328">
        <v>21801.780000000002</v>
      </c>
      <c r="L68" s="328">
        <v>22891.869000000002</v>
      </c>
      <c r="M68" s="328">
        <v>23000</v>
      </c>
      <c r="N68" s="328">
        <v>23000</v>
      </c>
      <c r="O68" s="328">
        <v>23000</v>
      </c>
      <c r="P68" s="328">
        <v>23000</v>
      </c>
      <c r="Q68" s="328">
        <v>23000</v>
      </c>
      <c r="R68" s="328">
        <v>23000</v>
      </c>
      <c r="S68" s="328">
        <v>23000</v>
      </c>
      <c r="T68" s="328">
        <v>23000</v>
      </c>
      <c r="U68" s="328">
        <v>23000</v>
      </c>
      <c r="V68" s="328">
        <v>23000</v>
      </c>
      <c r="W68" s="328">
        <v>23000</v>
      </c>
      <c r="X68" s="328">
        <v>23000</v>
      </c>
      <c r="Y68" s="328">
        <v>23000</v>
      </c>
      <c r="Z68" s="328">
        <v>23000</v>
      </c>
      <c r="AA68" s="328">
        <v>23000</v>
      </c>
      <c r="AB68" s="328">
        <v>23000</v>
      </c>
      <c r="AC68" s="328">
        <v>23000</v>
      </c>
      <c r="AD68" s="328">
        <v>23000</v>
      </c>
      <c r="AE68" s="328">
        <v>23000</v>
      </c>
      <c r="AF68" s="328">
        <v>23000</v>
      </c>
      <c r="AG68" s="328">
        <v>23000</v>
      </c>
      <c r="AH68" s="328">
        <v>23000</v>
      </c>
      <c r="AI68" s="328">
        <v>23000</v>
      </c>
      <c r="AJ68" s="328">
        <v>23000</v>
      </c>
      <c r="AK68" s="328">
        <v>23000</v>
      </c>
      <c r="AL68" s="328">
        <v>23000</v>
      </c>
    </row>
    <row r="69" spans="1:40" s="60" customFormat="1" outlineLevel="1">
      <c r="A69" s="59"/>
      <c r="C69" s="247"/>
      <c r="E69" s="54" t="s">
        <v>214</v>
      </c>
      <c r="F69" s="245">
        <v>331</v>
      </c>
      <c r="G69" s="246">
        <v>337.62</v>
      </c>
      <c r="H69" s="246">
        <v>344.37239999999997</v>
      </c>
      <c r="I69" s="246">
        <v>7297.5870545753423</v>
      </c>
      <c r="J69" s="246">
        <v>20724.502022494249</v>
      </c>
      <c r="K69" s="246">
        <v>21095.575545859199</v>
      </c>
      <c r="L69" s="246">
        <v>21106.539068234975</v>
      </c>
      <c r="M69" s="246">
        <v>21117.831496282022</v>
      </c>
      <c r="N69" s="246">
        <v>21129.462697170482</v>
      </c>
      <c r="O69" s="246">
        <v>21141.442834085596</v>
      </c>
      <c r="P69" s="246">
        <v>21153.782375108167</v>
      </c>
      <c r="Q69" s="246">
        <v>21166.492102361412</v>
      </c>
      <c r="R69" s="246">
        <v>21179.583121432253</v>
      </c>
      <c r="S69" s="246">
        <v>21188.938031405301</v>
      </c>
      <c r="T69" s="246">
        <v>21194.602428347458</v>
      </c>
      <c r="U69" s="246">
        <v>21200.436757197884</v>
      </c>
      <c r="V69" s="246">
        <v>21206.446115913819</v>
      </c>
      <c r="W69" s="246">
        <v>21212.635755391235</v>
      </c>
      <c r="X69" s="246">
        <v>21219.011084052971</v>
      </c>
      <c r="Y69" s="246">
        <v>21225.57767257456</v>
      </c>
      <c r="Z69" s="246">
        <v>21232.3412587518</v>
      </c>
      <c r="AA69" s="246">
        <v>21239.307752514353</v>
      </c>
      <c r="AB69" s="246">
        <v>21246.483241089783</v>
      </c>
      <c r="AC69" s="246">
        <v>21253.873994322475</v>
      </c>
      <c r="AD69" s="246">
        <v>21261.486470152151</v>
      </c>
      <c r="AE69" s="246">
        <v>21269.327320256714</v>
      </c>
      <c r="AF69" s="246">
        <v>21277.403395864418</v>
      </c>
      <c r="AG69" s="246">
        <v>21285.721753740349</v>
      </c>
      <c r="AH69" s="246">
        <v>21294.289662352559</v>
      </c>
      <c r="AI69" s="246">
        <v>21300.124799999998</v>
      </c>
      <c r="AJ69" s="246">
        <v>21300.124799999998</v>
      </c>
      <c r="AK69" s="246">
        <v>21300.124799999998</v>
      </c>
      <c r="AL69" s="246">
        <v>21300.124799999998</v>
      </c>
      <c r="AN69" s="31"/>
    </row>
    <row r="70" spans="1:40" ht="3.75" customHeight="1" outlineLevel="1">
      <c r="E70" s="55"/>
      <c r="F70" s="56"/>
      <c r="G70" s="57"/>
      <c r="H70" s="57"/>
      <c r="I70" s="57"/>
      <c r="J70" s="58"/>
      <c r="K70" s="57"/>
      <c r="L70" s="58"/>
      <c r="M70" s="57"/>
      <c r="N70" s="58"/>
      <c r="O70" s="58"/>
      <c r="P70" s="58"/>
      <c r="Q70" s="58"/>
      <c r="R70" s="58"/>
      <c r="S70" s="58"/>
      <c r="T70" s="58"/>
      <c r="U70" s="58"/>
      <c r="V70" s="58"/>
      <c r="W70" s="58"/>
      <c r="X70" s="58"/>
      <c r="Y70" s="58"/>
      <c r="Z70" s="58"/>
      <c r="AA70" s="58"/>
      <c r="AB70" s="58"/>
      <c r="AC70" s="58"/>
      <c r="AD70" s="58"/>
      <c r="AE70" s="58"/>
      <c r="AF70" s="58"/>
      <c r="AG70" s="58"/>
      <c r="AH70" s="58"/>
      <c r="AI70" s="58"/>
      <c r="AJ70" s="58"/>
      <c r="AK70" s="58"/>
      <c r="AL70" s="58"/>
    </row>
    <row r="71" spans="1:40">
      <c r="C71" s="417"/>
      <c r="E71" s="52" t="s">
        <v>215</v>
      </c>
      <c r="F71" s="331"/>
      <c r="G71" s="332"/>
      <c r="H71" s="333"/>
      <c r="I71" s="332"/>
      <c r="J71" s="332"/>
      <c r="K71" s="332"/>
      <c r="L71" s="332"/>
      <c r="M71" s="332"/>
      <c r="N71" s="332"/>
      <c r="O71" s="332"/>
      <c r="P71" s="332"/>
      <c r="Q71" s="332"/>
      <c r="R71" s="332"/>
      <c r="S71" s="332"/>
      <c r="T71" s="332"/>
      <c r="U71" s="332"/>
      <c r="V71" s="332"/>
      <c r="W71" s="332"/>
      <c r="X71" s="332"/>
      <c r="Y71" s="332"/>
      <c r="Z71" s="332"/>
      <c r="AA71" s="332"/>
      <c r="AB71" s="332"/>
      <c r="AC71" s="332"/>
      <c r="AD71" s="332"/>
      <c r="AE71" s="332"/>
      <c r="AF71" s="332"/>
      <c r="AG71" s="332"/>
      <c r="AH71" s="332"/>
      <c r="AI71" s="332"/>
      <c r="AJ71" s="332"/>
      <c r="AK71" s="332"/>
      <c r="AL71" s="332"/>
    </row>
    <row r="72" spans="1:40">
      <c r="C72" s="417"/>
      <c r="E72" s="53" t="s">
        <v>397</v>
      </c>
      <c r="F72" s="334"/>
      <c r="G72" s="335"/>
      <c r="H72" s="335"/>
      <c r="I72" s="335">
        <v>15.400000000000002</v>
      </c>
      <c r="J72" s="335">
        <v>14.3</v>
      </c>
      <c r="K72" s="335">
        <v>14.3</v>
      </c>
      <c r="L72" s="335">
        <v>14.3</v>
      </c>
      <c r="M72" s="335">
        <v>14.3</v>
      </c>
      <c r="N72" s="335">
        <v>14.3</v>
      </c>
      <c r="O72" s="335">
        <v>14.3</v>
      </c>
      <c r="P72" s="335">
        <v>14.3</v>
      </c>
      <c r="Q72" s="335">
        <v>14.3</v>
      </c>
      <c r="R72" s="335">
        <v>14.3</v>
      </c>
      <c r="S72" s="335">
        <v>14.3</v>
      </c>
      <c r="T72" s="335">
        <v>14.3</v>
      </c>
      <c r="U72" s="335">
        <v>14.3</v>
      </c>
      <c r="V72" s="335">
        <v>14.3</v>
      </c>
      <c r="W72" s="335">
        <v>14.3</v>
      </c>
      <c r="X72" s="335">
        <v>14.3</v>
      </c>
      <c r="Y72" s="335">
        <v>14.3</v>
      </c>
      <c r="Z72" s="335">
        <v>14.3</v>
      </c>
      <c r="AA72" s="335">
        <v>14.3</v>
      </c>
      <c r="AB72" s="335">
        <v>14.3</v>
      </c>
      <c r="AC72" s="335">
        <v>14.3</v>
      </c>
      <c r="AD72" s="335">
        <v>14.3</v>
      </c>
      <c r="AE72" s="335">
        <v>14.3</v>
      </c>
      <c r="AF72" s="335">
        <v>14.3</v>
      </c>
      <c r="AG72" s="335">
        <v>14.3</v>
      </c>
      <c r="AH72" s="335">
        <v>14.3</v>
      </c>
      <c r="AI72" s="335">
        <v>14.3</v>
      </c>
      <c r="AJ72" s="335">
        <v>14.3</v>
      </c>
      <c r="AK72" s="335">
        <v>14.3</v>
      </c>
      <c r="AL72" s="335">
        <v>14.3</v>
      </c>
    </row>
    <row r="73" spans="1:40">
      <c r="C73" s="417"/>
      <c r="E73" s="53" t="s">
        <v>396</v>
      </c>
      <c r="F73" s="334"/>
      <c r="G73" s="335"/>
      <c r="H73" s="335"/>
      <c r="I73" s="335">
        <v>14</v>
      </c>
      <c r="J73" s="335">
        <v>13</v>
      </c>
      <c r="K73" s="335">
        <v>13</v>
      </c>
      <c r="L73" s="335">
        <v>13</v>
      </c>
      <c r="M73" s="335">
        <v>13</v>
      </c>
      <c r="N73" s="335">
        <v>13</v>
      </c>
      <c r="O73" s="335">
        <v>13</v>
      </c>
      <c r="P73" s="335">
        <v>13</v>
      </c>
      <c r="Q73" s="335">
        <v>13</v>
      </c>
      <c r="R73" s="335">
        <v>13</v>
      </c>
      <c r="S73" s="335">
        <v>13</v>
      </c>
      <c r="T73" s="335">
        <v>13</v>
      </c>
      <c r="U73" s="335">
        <v>13</v>
      </c>
      <c r="V73" s="335">
        <v>13</v>
      </c>
      <c r="W73" s="335">
        <v>13</v>
      </c>
      <c r="X73" s="335">
        <v>13</v>
      </c>
      <c r="Y73" s="335">
        <v>13</v>
      </c>
      <c r="Z73" s="335">
        <v>13</v>
      </c>
      <c r="AA73" s="335">
        <v>13</v>
      </c>
      <c r="AB73" s="335">
        <v>13</v>
      </c>
      <c r="AC73" s="335">
        <v>13</v>
      </c>
      <c r="AD73" s="335">
        <v>13</v>
      </c>
      <c r="AE73" s="335">
        <v>13</v>
      </c>
      <c r="AF73" s="335">
        <v>13</v>
      </c>
      <c r="AG73" s="335">
        <v>13</v>
      </c>
      <c r="AH73" s="335">
        <v>13</v>
      </c>
      <c r="AI73" s="335">
        <v>13</v>
      </c>
      <c r="AJ73" s="335">
        <v>13</v>
      </c>
      <c r="AK73" s="335">
        <v>13</v>
      </c>
      <c r="AL73" s="335">
        <v>13</v>
      </c>
    </row>
    <row r="74" spans="1:40">
      <c r="C74" s="417"/>
      <c r="E74" s="53" t="s">
        <v>67</v>
      </c>
      <c r="F74" s="334"/>
      <c r="G74" s="335"/>
      <c r="H74" s="335"/>
      <c r="I74" s="335">
        <v>1.2</v>
      </c>
      <c r="J74" s="335">
        <v>1.2</v>
      </c>
      <c r="K74" s="335">
        <v>1.2</v>
      </c>
      <c r="L74" s="335">
        <v>1.2</v>
      </c>
      <c r="M74" s="335">
        <v>1.2</v>
      </c>
      <c r="N74" s="335">
        <v>1.2</v>
      </c>
      <c r="O74" s="335">
        <v>1.2</v>
      </c>
      <c r="P74" s="335">
        <v>1.2</v>
      </c>
      <c r="Q74" s="335">
        <v>1.2</v>
      </c>
      <c r="R74" s="335">
        <v>1.2</v>
      </c>
      <c r="S74" s="335">
        <v>1.2</v>
      </c>
      <c r="T74" s="335">
        <v>1.2</v>
      </c>
      <c r="U74" s="335">
        <v>1.2</v>
      </c>
      <c r="V74" s="335">
        <v>1.2</v>
      </c>
      <c r="W74" s="335">
        <v>1.2</v>
      </c>
      <c r="X74" s="335">
        <v>1.2</v>
      </c>
      <c r="Y74" s="335">
        <v>1.2</v>
      </c>
      <c r="Z74" s="335">
        <v>1.2</v>
      </c>
      <c r="AA74" s="335">
        <v>1.2</v>
      </c>
      <c r="AB74" s="335">
        <v>1.2</v>
      </c>
      <c r="AC74" s="335">
        <v>1.2</v>
      </c>
      <c r="AD74" s="335">
        <v>1.2</v>
      </c>
      <c r="AE74" s="335">
        <v>1.2</v>
      </c>
      <c r="AF74" s="335">
        <v>1.2</v>
      </c>
      <c r="AG74" s="335">
        <v>1.2</v>
      </c>
      <c r="AH74" s="335">
        <v>1.2</v>
      </c>
      <c r="AI74" s="335">
        <v>1.2</v>
      </c>
      <c r="AJ74" s="335">
        <v>1.2</v>
      </c>
      <c r="AK74" s="335">
        <v>1.2</v>
      </c>
      <c r="AL74" s="335">
        <v>1.2</v>
      </c>
    </row>
    <row r="75" spans="1:40">
      <c r="C75" s="417"/>
      <c r="E75" s="53" t="s">
        <v>256</v>
      </c>
      <c r="F75" s="334">
        <v>45.918367346938773</v>
      </c>
      <c r="G75" s="335">
        <v>45.918367346938773</v>
      </c>
      <c r="H75" s="335">
        <v>45.918367346938773</v>
      </c>
      <c r="I75" s="335">
        <v>45.918367346938773</v>
      </c>
      <c r="J75" s="335">
        <v>45.918367346938773</v>
      </c>
      <c r="K75" s="335">
        <v>45.918367346938773</v>
      </c>
      <c r="L75" s="335">
        <v>45.918367346938773</v>
      </c>
      <c r="M75" s="335">
        <v>45.918367346938773</v>
      </c>
      <c r="N75" s="335">
        <v>45.918367346938773</v>
      </c>
      <c r="O75" s="335">
        <v>45.918367346938773</v>
      </c>
      <c r="P75" s="335">
        <v>45.918367346938773</v>
      </c>
      <c r="Q75" s="335">
        <v>45.918367346938773</v>
      </c>
      <c r="R75" s="335">
        <v>45.918367346938773</v>
      </c>
      <c r="S75" s="335">
        <v>45.918367346938773</v>
      </c>
      <c r="T75" s="335">
        <v>45.918367346938773</v>
      </c>
      <c r="U75" s="335">
        <v>45.918367346938773</v>
      </c>
      <c r="V75" s="335">
        <v>45.918367346938773</v>
      </c>
      <c r="W75" s="335">
        <v>45.918367346938773</v>
      </c>
      <c r="X75" s="335">
        <v>45.918367346938773</v>
      </c>
      <c r="Y75" s="335">
        <v>45.918367346938773</v>
      </c>
      <c r="Z75" s="335">
        <v>45.918367346938773</v>
      </c>
      <c r="AA75" s="335">
        <v>45.918367346938773</v>
      </c>
      <c r="AB75" s="335">
        <v>45.918367346938773</v>
      </c>
      <c r="AC75" s="335">
        <v>45.918367346938773</v>
      </c>
      <c r="AD75" s="335">
        <v>45.918367346938773</v>
      </c>
      <c r="AE75" s="335">
        <v>45.918367346938773</v>
      </c>
      <c r="AF75" s="335">
        <v>45.918367346938773</v>
      </c>
      <c r="AG75" s="335">
        <v>45.918367346938773</v>
      </c>
      <c r="AH75" s="335">
        <v>45.918367346938773</v>
      </c>
      <c r="AI75" s="335">
        <v>45.918367346938773</v>
      </c>
      <c r="AJ75" s="335">
        <v>45.918367346938773</v>
      </c>
      <c r="AK75" s="335">
        <v>45.918367346938773</v>
      </c>
      <c r="AL75" s="335">
        <v>45.918367346938773</v>
      </c>
    </row>
    <row r="76" spans="1:40">
      <c r="C76" s="417"/>
      <c r="E76" s="53" t="s">
        <v>257</v>
      </c>
      <c r="F76" s="334">
        <v>24.385185185185186</v>
      </c>
      <c r="G76" s="335">
        <v>24.385185185185186</v>
      </c>
      <c r="H76" s="335">
        <v>24.385185185185186</v>
      </c>
      <c r="I76" s="335">
        <v>24.385185185185186</v>
      </c>
      <c r="J76" s="335">
        <v>24.385185185185186</v>
      </c>
      <c r="K76" s="335">
        <v>24.385185185185186</v>
      </c>
      <c r="L76" s="335">
        <v>24.385185185185186</v>
      </c>
      <c r="M76" s="335">
        <v>24.385185185185186</v>
      </c>
      <c r="N76" s="335">
        <v>24.385185185185186</v>
      </c>
      <c r="O76" s="335">
        <v>24.385185185185186</v>
      </c>
      <c r="P76" s="335">
        <v>24.385185185185186</v>
      </c>
      <c r="Q76" s="335">
        <v>24.385185185185186</v>
      </c>
      <c r="R76" s="335">
        <v>24.385185185185186</v>
      </c>
      <c r="S76" s="335">
        <v>24.385185185185186</v>
      </c>
      <c r="T76" s="335">
        <v>24.385185185185186</v>
      </c>
      <c r="U76" s="335">
        <v>24.385185185185186</v>
      </c>
      <c r="V76" s="335">
        <v>24.385185185185186</v>
      </c>
      <c r="W76" s="335">
        <v>24.385185185185186</v>
      </c>
      <c r="X76" s="335">
        <v>24.385185185185186</v>
      </c>
      <c r="Y76" s="335">
        <v>24.385185185185186</v>
      </c>
      <c r="Z76" s="335">
        <v>24.385185185185186</v>
      </c>
      <c r="AA76" s="335">
        <v>24.385185185185186</v>
      </c>
      <c r="AB76" s="335">
        <v>24.385185185185186</v>
      </c>
      <c r="AC76" s="335">
        <v>24.385185185185186</v>
      </c>
      <c r="AD76" s="335">
        <v>24.385185185185186</v>
      </c>
      <c r="AE76" s="335">
        <v>24.385185185185186</v>
      </c>
      <c r="AF76" s="335">
        <v>24.385185185185186</v>
      </c>
      <c r="AG76" s="335">
        <v>24.385185185185186</v>
      </c>
      <c r="AH76" s="335">
        <v>24.385185185185186</v>
      </c>
      <c r="AI76" s="335">
        <v>24.385185185185186</v>
      </c>
      <c r="AJ76" s="335">
        <v>24.385185185185186</v>
      </c>
      <c r="AK76" s="335">
        <v>24.385185185185186</v>
      </c>
      <c r="AL76" s="335">
        <v>24.385185185185186</v>
      </c>
    </row>
    <row r="77" spans="1:40">
      <c r="C77" s="417"/>
      <c r="E77" s="53" t="s">
        <v>258</v>
      </c>
      <c r="F77" s="334">
        <v>7.9</v>
      </c>
      <c r="G77" s="335">
        <v>7.9</v>
      </c>
      <c r="H77" s="335">
        <v>7.9</v>
      </c>
      <c r="I77" s="335">
        <v>7.9</v>
      </c>
      <c r="J77" s="335">
        <v>7.9</v>
      </c>
      <c r="K77" s="335">
        <v>7.9</v>
      </c>
      <c r="L77" s="335">
        <v>7.9</v>
      </c>
      <c r="M77" s="335">
        <v>7.9</v>
      </c>
      <c r="N77" s="335">
        <v>7.9</v>
      </c>
      <c r="O77" s="335">
        <v>7.9</v>
      </c>
      <c r="P77" s="335">
        <v>7.9</v>
      </c>
      <c r="Q77" s="335">
        <v>7.9</v>
      </c>
      <c r="R77" s="335">
        <v>7.9</v>
      </c>
      <c r="S77" s="335">
        <v>7.9</v>
      </c>
      <c r="T77" s="335">
        <v>7.9</v>
      </c>
      <c r="U77" s="335">
        <v>7.9</v>
      </c>
      <c r="V77" s="335">
        <v>7.9</v>
      </c>
      <c r="W77" s="335">
        <v>7.9</v>
      </c>
      <c r="X77" s="335">
        <v>7.9</v>
      </c>
      <c r="Y77" s="335">
        <v>7.9</v>
      </c>
      <c r="Z77" s="335">
        <v>7.9</v>
      </c>
      <c r="AA77" s="335">
        <v>7.9</v>
      </c>
      <c r="AB77" s="335">
        <v>7.9</v>
      </c>
      <c r="AC77" s="335">
        <v>7.9</v>
      </c>
      <c r="AD77" s="335">
        <v>7.9</v>
      </c>
      <c r="AE77" s="335">
        <v>7.9</v>
      </c>
      <c r="AF77" s="335">
        <v>7.9</v>
      </c>
      <c r="AG77" s="335">
        <v>7.9</v>
      </c>
      <c r="AH77" s="335">
        <v>7.9</v>
      </c>
      <c r="AI77" s="335">
        <v>7.9</v>
      </c>
      <c r="AJ77" s="335">
        <v>7.9</v>
      </c>
      <c r="AK77" s="335">
        <v>7.9</v>
      </c>
      <c r="AL77" s="335">
        <v>7.9</v>
      </c>
    </row>
    <row r="78" spans="1:40">
      <c r="C78" s="417"/>
      <c r="E78" s="53" t="s">
        <v>259</v>
      </c>
      <c r="F78" s="334">
        <v>0.41</v>
      </c>
      <c r="G78" s="335">
        <v>0.41</v>
      </c>
      <c r="H78" s="335">
        <v>0.41</v>
      </c>
      <c r="I78" s="335">
        <v>0.41</v>
      </c>
      <c r="J78" s="335">
        <v>0.41</v>
      </c>
      <c r="K78" s="335">
        <v>0.41</v>
      </c>
      <c r="L78" s="335">
        <v>0.41</v>
      </c>
      <c r="M78" s="335">
        <v>0.41</v>
      </c>
      <c r="N78" s="335">
        <v>0.41</v>
      </c>
      <c r="O78" s="335">
        <v>0.41</v>
      </c>
      <c r="P78" s="335">
        <v>0.41</v>
      </c>
      <c r="Q78" s="335">
        <v>0.41</v>
      </c>
      <c r="R78" s="335">
        <v>0.41</v>
      </c>
      <c r="S78" s="335">
        <v>0.41</v>
      </c>
      <c r="T78" s="335">
        <v>0.41</v>
      </c>
      <c r="U78" s="335">
        <v>0.41</v>
      </c>
      <c r="V78" s="335">
        <v>0.41</v>
      </c>
      <c r="W78" s="335">
        <v>0.41</v>
      </c>
      <c r="X78" s="335">
        <v>0.41</v>
      </c>
      <c r="Y78" s="335">
        <v>0.41</v>
      </c>
      <c r="Z78" s="335">
        <v>0.41</v>
      </c>
      <c r="AA78" s="335">
        <v>0.41</v>
      </c>
      <c r="AB78" s="335">
        <v>0.41</v>
      </c>
      <c r="AC78" s="335">
        <v>0.41</v>
      </c>
      <c r="AD78" s="335">
        <v>0.41</v>
      </c>
      <c r="AE78" s="335">
        <v>0.41</v>
      </c>
      <c r="AF78" s="335">
        <v>0.41</v>
      </c>
      <c r="AG78" s="335">
        <v>0.41</v>
      </c>
      <c r="AH78" s="335">
        <v>0.41</v>
      </c>
      <c r="AI78" s="335">
        <v>0.41</v>
      </c>
      <c r="AJ78" s="335">
        <v>0.41</v>
      </c>
      <c r="AK78" s="335">
        <v>0.41</v>
      </c>
      <c r="AL78" s="335">
        <v>0.41</v>
      </c>
    </row>
    <row r="79" spans="1:40" s="60" customFormat="1">
      <c r="A79" s="59"/>
      <c r="C79" s="418"/>
      <c r="E79" s="52" t="s">
        <v>216</v>
      </c>
      <c r="F79" s="336">
        <v>2.7755502421678622</v>
      </c>
      <c r="G79" s="337">
        <v>2.6336504104344982</v>
      </c>
      <c r="H79" s="337">
        <v>2.5918930647289087</v>
      </c>
      <c r="I79" s="337">
        <v>3.2407687881422529</v>
      </c>
      <c r="J79" s="337">
        <v>3.8029774351491565</v>
      </c>
      <c r="K79" s="337">
        <v>3.8008807305058845</v>
      </c>
      <c r="L79" s="337">
        <v>3.7596709054278099</v>
      </c>
      <c r="M79" s="337">
        <v>3.7501083343095174</v>
      </c>
      <c r="N79" s="337">
        <v>3.7578085442622311</v>
      </c>
      <c r="O79" s="337">
        <v>3.7657360479586197</v>
      </c>
      <c r="P79" s="337">
        <v>3.773897440922886</v>
      </c>
      <c r="Q79" s="337">
        <v>3.7822995032039959</v>
      </c>
      <c r="R79" s="337">
        <v>3.790949204122442</v>
      </c>
      <c r="S79" s="337">
        <v>3.7964093765980507</v>
      </c>
      <c r="T79" s="337">
        <v>3.7987189897670715</v>
      </c>
      <c r="U79" s="337">
        <v>3.8010973496658118</v>
      </c>
      <c r="V79" s="337">
        <v>3.803546485907948</v>
      </c>
      <c r="W79" s="337">
        <v>3.8060684870171322</v>
      </c>
      <c r="X79" s="337">
        <v>3.8086655020754989</v>
      </c>
      <c r="Y79" s="337">
        <v>3.8113397424145403</v>
      </c>
      <c r="Z79" s="337">
        <v>3.8140934833492182</v>
      </c>
      <c r="AA79" s="337">
        <v>3.816929065956157</v>
      </c>
      <c r="AB79" s="337">
        <v>3.8198488988967814</v>
      </c>
      <c r="AC79" s="337">
        <v>3.8228554602862483</v>
      </c>
      <c r="AD79" s="337">
        <v>3.8259512996090304</v>
      </c>
      <c r="AE79" s="337">
        <v>3.8291390396819915</v>
      </c>
      <c r="AF79" s="337">
        <v>3.832421378665809</v>
      </c>
      <c r="AG79" s="337">
        <v>3.8358010921255561</v>
      </c>
      <c r="AH79" s="337">
        <v>3.8392810351412905</v>
      </c>
      <c r="AI79" s="337">
        <v>3.8416503608945454</v>
      </c>
      <c r="AJ79" s="337">
        <v>3.8416503608945454</v>
      </c>
      <c r="AK79" s="337">
        <v>3.8416503608945454</v>
      </c>
      <c r="AL79" s="337">
        <v>3.8416503608945454</v>
      </c>
      <c r="AN79" s="31"/>
    </row>
    <row r="80" spans="1:40" ht="3.75" customHeight="1">
      <c r="E80" s="53"/>
      <c r="F80" s="62"/>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row>
    <row r="81" spans="3:38">
      <c r="C81" s="51"/>
      <c r="E81" s="52" t="s">
        <v>94</v>
      </c>
      <c r="F81" s="311"/>
      <c r="G81" s="312"/>
      <c r="H81" s="312"/>
      <c r="I81" s="312"/>
      <c r="J81" s="312"/>
      <c r="K81" s="312"/>
      <c r="L81" s="312"/>
      <c r="M81" s="312"/>
      <c r="N81" s="312"/>
      <c r="O81" s="312"/>
      <c r="P81" s="312"/>
      <c r="Q81" s="312"/>
      <c r="R81" s="312"/>
      <c r="S81" s="312"/>
      <c r="T81" s="312"/>
      <c r="U81" s="312"/>
      <c r="V81" s="312"/>
      <c r="W81" s="312"/>
      <c r="X81" s="312"/>
      <c r="Y81" s="312"/>
      <c r="Z81" s="312"/>
      <c r="AA81" s="312"/>
      <c r="AB81" s="312"/>
      <c r="AC81" s="312"/>
      <c r="AD81" s="312"/>
      <c r="AE81" s="312"/>
      <c r="AF81" s="312"/>
      <c r="AG81" s="312"/>
      <c r="AH81" s="312"/>
      <c r="AI81" s="312"/>
      <c r="AJ81" s="312"/>
      <c r="AK81" s="312"/>
      <c r="AL81" s="312"/>
    </row>
    <row r="82" spans="3:38">
      <c r="C82" s="51"/>
      <c r="E82" s="53" t="s">
        <v>397</v>
      </c>
      <c r="F82" s="313">
        <v>0</v>
      </c>
      <c r="G82" s="314">
        <v>0</v>
      </c>
      <c r="H82" s="314">
        <v>0</v>
      </c>
      <c r="I82" s="314">
        <v>0</v>
      </c>
      <c r="J82" s="314">
        <v>0</v>
      </c>
      <c r="K82" s="314">
        <v>0</v>
      </c>
      <c r="L82" s="314">
        <v>0</v>
      </c>
      <c r="M82" s="314">
        <v>0</v>
      </c>
      <c r="N82" s="314">
        <v>0</v>
      </c>
      <c r="O82" s="314">
        <v>0</v>
      </c>
      <c r="P82" s="314">
        <v>0</v>
      </c>
      <c r="Q82" s="314">
        <v>0</v>
      </c>
      <c r="R82" s="314">
        <v>0</v>
      </c>
      <c r="S82" s="314">
        <v>0</v>
      </c>
      <c r="T82" s="314">
        <v>0</v>
      </c>
      <c r="U82" s="314">
        <v>0</v>
      </c>
      <c r="V82" s="314">
        <v>0</v>
      </c>
      <c r="W82" s="314">
        <v>0</v>
      </c>
      <c r="X82" s="314">
        <v>0</v>
      </c>
      <c r="Y82" s="314">
        <v>0</v>
      </c>
      <c r="Z82" s="314">
        <v>0</v>
      </c>
      <c r="AA82" s="314">
        <v>0</v>
      </c>
      <c r="AB82" s="314">
        <v>0</v>
      </c>
      <c r="AC82" s="314">
        <v>0</v>
      </c>
      <c r="AD82" s="314">
        <v>0</v>
      </c>
      <c r="AE82" s="314">
        <v>0</v>
      </c>
      <c r="AF82" s="314">
        <v>0</v>
      </c>
      <c r="AG82" s="314">
        <v>0</v>
      </c>
      <c r="AH82" s="314">
        <v>0</v>
      </c>
      <c r="AI82" s="314">
        <v>0</v>
      </c>
      <c r="AJ82" s="314">
        <v>0</v>
      </c>
      <c r="AK82" s="314">
        <v>0</v>
      </c>
      <c r="AL82" s="314">
        <v>0</v>
      </c>
    </row>
    <row r="83" spans="3:38">
      <c r="C83" s="51"/>
      <c r="E83" s="53" t="s">
        <v>396</v>
      </c>
      <c r="F83" s="313">
        <v>0</v>
      </c>
      <c r="G83" s="314">
        <v>0</v>
      </c>
      <c r="H83" s="314">
        <v>0</v>
      </c>
      <c r="I83" s="314">
        <v>35044.533654794519</v>
      </c>
      <c r="J83" s="314">
        <v>98102.607342465752</v>
      </c>
      <c r="K83" s="314">
        <v>99811.712</v>
      </c>
      <c r="L83" s="314">
        <v>99811.712</v>
      </c>
      <c r="M83" s="314">
        <v>99811.712</v>
      </c>
      <c r="N83" s="314">
        <v>99811.712</v>
      </c>
      <c r="O83" s="314">
        <v>99811.712</v>
      </c>
      <c r="P83" s="314">
        <v>99811.712</v>
      </c>
      <c r="Q83" s="314">
        <v>99811.712</v>
      </c>
      <c r="R83" s="314">
        <v>99811.712</v>
      </c>
      <c r="S83" s="314">
        <v>99811.712</v>
      </c>
      <c r="T83" s="314">
        <v>99811.712</v>
      </c>
      <c r="U83" s="314">
        <v>99811.712</v>
      </c>
      <c r="V83" s="314">
        <v>99811.712</v>
      </c>
      <c r="W83" s="314">
        <v>99811.712</v>
      </c>
      <c r="X83" s="314">
        <v>99811.712</v>
      </c>
      <c r="Y83" s="314">
        <v>99811.712</v>
      </c>
      <c r="Z83" s="314">
        <v>99811.712</v>
      </c>
      <c r="AA83" s="314">
        <v>99811.712</v>
      </c>
      <c r="AB83" s="314">
        <v>99811.712</v>
      </c>
      <c r="AC83" s="314">
        <v>99811.712</v>
      </c>
      <c r="AD83" s="314">
        <v>99811.712</v>
      </c>
      <c r="AE83" s="314">
        <v>99811.712</v>
      </c>
      <c r="AF83" s="314">
        <v>99811.712</v>
      </c>
      <c r="AG83" s="314">
        <v>99811.712</v>
      </c>
      <c r="AH83" s="314">
        <v>99811.712</v>
      </c>
      <c r="AI83" s="314">
        <v>99811.712</v>
      </c>
      <c r="AJ83" s="314">
        <v>99811.712</v>
      </c>
      <c r="AK83" s="314">
        <v>99811.712</v>
      </c>
      <c r="AL83" s="314">
        <v>99811.712</v>
      </c>
    </row>
    <row r="84" spans="3:38">
      <c r="C84" s="51"/>
      <c r="E84" s="53" t="s">
        <v>67</v>
      </c>
      <c r="F84" s="313">
        <v>0</v>
      </c>
      <c r="G84" s="314">
        <v>0</v>
      </c>
      <c r="H84" s="314">
        <v>0</v>
      </c>
      <c r="I84" s="314">
        <v>5331.7754774794521</v>
      </c>
      <c r="J84" s="314">
        <v>15383.83507989041</v>
      </c>
      <c r="K84" s="314">
        <v>15662.760959999998</v>
      </c>
      <c r="L84" s="314">
        <v>15662.760959999998</v>
      </c>
      <c r="M84" s="314">
        <v>15662.760959999998</v>
      </c>
      <c r="N84" s="314">
        <v>15662.760959999998</v>
      </c>
      <c r="O84" s="314">
        <v>15662.760959999998</v>
      </c>
      <c r="P84" s="314">
        <v>15662.760959999998</v>
      </c>
      <c r="Q84" s="314">
        <v>15662.760959999998</v>
      </c>
      <c r="R84" s="314">
        <v>15662.760959999998</v>
      </c>
      <c r="S84" s="314">
        <v>15662.760959999998</v>
      </c>
      <c r="T84" s="314">
        <v>15662.760959999998</v>
      </c>
      <c r="U84" s="314">
        <v>15662.760959999998</v>
      </c>
      <c r="V84" s="314">
        <v>15662.760959999998</v>
      </c>
      <c r="W84" s="314">
        <v>15662.760959999998</v>
      </c>
      <c r="X84" s="314">
        <v>15662.760959999998</v>
      </c>
      <c r="Y84" s="314">
        <v>15662.760959999998</v>
      </c>
      <c r="Z84" s="314">
        <v>15662.760959999998</v>
      </c>
      <c r="AA84" s="314">
        <v>15662.760959999998</v>
      </c>
      <c r="AB84" s="314">
        <v>15662.760959999998</v>
      </c>
      <c r="AC84" s="314">
        <v>15662.760959999998</v>
      </c>
      <c r="AD84" s="314">
        <v>15662.760959999998</v>
      </c>
      <c r="AE84" s="314">
        <v>15662.760959999998</v>
      </c>
      <c r="AF84" s="314">
        <v>15662.760959999998</v>
      </c>
      <c r="AG84" s="314">
        <v>15662.760959999998</v>
      </c>
      <c r="AH84" s="314">
        <v>15662.760959999998</v>
      </c>
      <c r="AI84" s="314">
        <v>15662.760959999998</v>
      </c>
      <c r="AJ84" s="314">
        <v>15662.760959999998</v>
      </c>
      <c r="AK84" s="314">
        <v>15662.760959999998</v>
      </c>
      <c r="AL84" s="314">
        <v>15662.760959999998</v>
      </c>
    </row>
    <row r="85" spans="3:38">
      <c r="C85" s="51"/>
      <c r="E85" s="53" t="s">
        <v>256</v>
      </c>
      <c r="F85" s="313">
        <v>9000</v>
      </c>
      <c r="G85" s="314">
        <v>9180</v>
      </c>
      <c r="H85" s="314">
        <v>9363.6</v>
      </c>
      <c r="I85" s="314">
        <v>9550.8720000000012</v>
      </c>
      <c r="J85" s="314">
        <v>9741.8894400000008</v>
      </c>
      <c r="K85" s="314">
        <v>9936.7272288000004</v>
      </c>
      <c r="L85" s="314">
        <v>10234.829045664001</v>
      </c>
      <c r="M85" s="314">
        <v>10541.873917033921</v>
      </c>
      <c r="N85" s="314">
        <v>10858.130134544937</v>
      </c>
      <c r="O85" s="314">
        <v>11183.874038581287</v>
      </c>
      <c r="P85" s="314">
        <v>11519.390259738726</v>
      </c>
      <c r="Q85" s="314">
        <v>11864.971967530886</v>
      </c>
      <c r="R85" s="314">
        <v>12220.921126556814</v>
      </c>
      <c r="S85" s="314">
        <v>12397.959183673469</v>
      </c>
      <c r="T85" s="314">
        <v>12397.959183673469</v>
      </c>
      <c r="U85" s="314">
        <v>12397.959183673469</v>
      </c>
      <c r="V85" s="314">
        <v>12397.959183673469</v>
      </c>
      <c r="W85" s="314">
        <v>12397.959183673469</v>
      </c>
      <c r="X85" s="314">
        <v>12397.959183673469</v>
      </c>
      <c r="Y85" s="314">
        <v>12397.959183673469</v>
      </c>
      <c r="Z85" s="314">
        <v>12397.959183673469</v>
      </c>
      <c r="AA85" s="314">
        <v>12397.959183673469</v>
      </c>
      <c r="AB85" s="314">
        <v>12397.959183673469</v>
      </c>
      <c r="AC85" s="314">
        <v>12397.959183673469</v>
      </c>
      <c r="AD85" s="314">
        <v>12397.959183673469</v>
      </c>
      <c r="AE85" s="314">
        <v>12397.959183673469</v>
      </c>
      <c r="AF85" s="314">
        <v>12397.959183673469</v>
      </c>
      <c r="AG85" s="314">
        <v>12397.959183673469</v>
      </c>
      <c r="AH85" s="314">
        <v>12397.959183673469</v>
      </c>
      <c r="AI85" s="314">
        <v>12397.959183673469</v>
      </c>
      <c r="AJ85" s="314">
        <v>12397.959183673469</v>
      </c>
      <c r="AK85" s="314">
        <v>12397.959183673469</v>
      </c>
      <c r="AL85" s="314">
        <v>12397.959183673469</v>
      </c>
    </row>
    <row r="86" spans="3:38">
      <c r="C86" s="51"/>
      <c r="E86" s="53" t="s">
        <v>257</v>
      </c>
      <c r="F86" s="313">
        <v>3292</v>
      </c>
      <c r="G86" s="314">
        <v>3357.8399999999997</v>
      </c>
      <c r="H86" s="314">
        <v>3424.9967999999994</v>
      </c>
      <c r="I86" s="314">
        <v>3493.4967359999996</v>
      </c>
      <c r="J86" s="314">
        <v>3563.3666707199995</v>
      </c>
      <c r="K86" s="314">
        <v>3634.6340041343997</v>
      </c>
      <c r="L86" s="314">
        <v>3743.6730242584317</v>
      </c>
      <c r="M86" s="314">
        <v>3855.9832149861854</v>
      </c>
      <c r="N86" s="314">
        <v>3971.6627114357711</v>
      </c>
      <c r="O86" s="314">
        <v>4090.8125927788442</v>
      </c>
      <c r="P86" s="314">
        <v>4213.5369705622097</v>
      </c>
      <c r="Q86" s="314">
        <v>4339.9430796790766</v>
      </c>
      <c r="R86" s="314">
        <v>4470.1413720694491</v>
      </c>
      <c r="S86" s="314">
        <v>4604.2456132315328</v>
      </c>
      <c r="T86" s="314">
        <v>4742.3729816284795</v>
      </c>
      <c r="U86" s="314">
        <v>4884.6441710773342</v>
      </c>
      <c r="V86" s="314">
        <v>5031.1834962096545</v>
      </c>
      <c r="W86" s="314">
        <v>5182.1190010959444</v>
      </c>
      <c r="X86" s="314">
        <v>5337.5825711288226</v>
      </c>
      <c r="Y86" s="314">
        <v>5497.7100482626875</v>
      </c>
      <c r="Z86" s="314">
        <v>5662.6413497105686</v>
      </c>
      <c r="AA86" s="314">
        <v>5832.5205902018861</v>
      </c>
      <c r="AB86" s="314">
        <v>6007.4962079079423</v>
      </c>
      <c r="AC86" s="314">
        <v>6187.7210941451813</v>
      </c>
      <c r="AD86" s="314">
        <v>6373.352726969536</v>
      </c>
      <c r="AE86" s="314">
        <v>6564.5533087786225</v>
      </c>
      <c r="AF86" s="314">
        <v>6761.4899080419809</v>
      </c>
      <c r="AG86" s="314">
        <v>6964.3346052832403</v>
      </c>
      <c r="AH86" s="314">
        <v>7173.2646434417375</v>
      </c>
      <c r="AI86" s="314">
        <v>7315.5555555555557</v>
      </c>
      <c r="AJ86" s="314">
        <v>7315.5555555555557</v>
      </c>
      <c r="AK86" s="314">
        <v>7315.5555555555557</v>
      </c>
      <c r="AL86" s="314">
        <v>7315.5555555555557</v>
      </c>
    </row>
    <row r="87" spans="3:38">
      <c r="C87" s="51"/>
      <c r="E87" s="53" t="s">
        <v>258</v>
      </c>
      <c r="F87" s="313">
        <v>27650</v>
      </c>
      <c r="G87" s="314">
        <v>34562.5</v>
      </c>
      <c r="H87" s="314">
        <v>38018.75</v>
      </c>
      <c r="I87" s="314">
        <v>41820.625</v>
      </c>
      <c r="J87" s="314">
        <v>46002.687500000007</v>
      </c>
      <c r="K87" s="314">
        <v>48302.821875000009</v>
      </c>
      <c r="L87" s="314">
        <v>50717.962968750013</v>
      </c>
      <c r="M87" s="314">
        <v>49770</v>
      </c>
      <c r="N87" s="314">
        <v>49770</v>
      </c>
      <c r="O87" s="314">
        <v>49770</v>
      </c>
      <c r="P87" s="314">
        <v>49770</v>
      </c>
      <c r="Q87" s="314">
        <v>49770</v>
      </c>
      <c r="R87" s="314">
        <v>49770</v>
      </c>
      <c r="S87" s="314">
        <v>49770</v>
      </c>
      <c r="T87" s="314">
        <v>49770</v>
      </c>
      <c r="U87" s="314">
        <v>49770</v>
      </c>
      <c r="V87" s="314">
        <v>49770</v>
      </c>
      <c r="W87" s="314">
        <v>49770</v>
      </c>
      <c r="X87" s="314">
        <v>49770</v>
      </c>
      <c r="Y87" s="314">
        <v>49770</v>
      </c>
      <c r="Z87" s="314">
        <v>49770</v>
      </c>
      <c r="AA87" s="314">
        <v>49770</v>
      </c>
      <c r="AB87" s="314">
        <v>49770</v>
      </c>
      <c r="AC87" s="314">
        <v>49770</v>
      </c>
      <c r="AD87" s="314">
        <v>49770</v>
      </c>
      <c r="AE87" s="314">
        <v>49770</v>
      </c>
      <c r="AF87" s="314">
        <v>49770</v>
      </c>
      <c r="AG87" s="314">
        <v>49770</v>
      </c>
      <c r="AH87" s="314">
        <v>49770</v>
      </c>
      <c r="AI87" s="314">
        <v>49770</v>
      </c>
      <c r="AJ87" s="314">
        <v>49770</v>
      </c>
      <c r="AK87" s="314">
        <v>49770</v>
      </c>
      <c r="AL87" s="314">
        <v>49770</v>
      </c>
    </row>
    <row r="88" spans="3:38">
      <c r="C88" s="51"/>
      <c r="E88" s="53" t="s">
        <v>259</v>
      </c>
      <c r="F88" s="313">
        <v>5330</v>
      </c>
      <c r="G88" s="314">
        <v>6396</v>
      </c>
      <c r="H88" s="314">
        <v>7035.5999999999995</v>
      </c>
      <c r="I88" s="314">
        <v>7739.16</v>
      </c>
      <c r="J88" s="314">
        <v>8513.0760000000009</v>
      </c>
      <c r="K88" s="314">
        <v>8938.729800000001</v>
      </c>
      <c r="L88" s="314">
        <v>9385.666290000001</v>
      </c>
      <c r="M88" s="314">
        <v>9430</v>
      </c>
      <c r="N88" s="314">
        <v>9430</v>
      </c>
      <c r="O88" s="314">
        <v>9430</v>
      </c>
      <c r="P88" s="314">
        <v>9430</v>
      </c>
      <c r="Q88" s="314">
        <v>9430</v>
      </c>
      <c r="R88" s="314">
        <v>9430</v>
      </c>
      <c r="S88" s="314">
        <v>9430</v>
      </c>
      <c r="T88" s="314">
        <v>9430</v>
      </c>
      <c r="U88" s="314">
        <v>9430</v>
      </c>
      <c r="V88" s="314">
        <v>9430</v>
      </c>
      <c r="W88" s="314">
        <v>9430</v>
      </c>
      <c r="X88" s="314">
        <v>9430</v>
      </c>
      <c r="Y88" s="314">
        <v>9430</v>
      </c>
      <c r="Z88" s="314">
        <v>9430</v>
      </c>
      <c r="AA88" s="314">
        <v>9430</v>
      </c>
      <c r="AB88" s="314">
        <v>9430</v>
      </c>
      <c r="AC88" s="314">
        <v>9430</v>
      </c>
      <c r="AD88" s="314">
        <v>9430</v>
      </c>
      <c r="AE88" s="314">
        <v>9430</v>
      </c>
      <c r="AF88" s="314">
        <v>9430</v>
      </c>
      <c r="AG88" s="314">
        <v>9430</v>
      </c>
      <c r="AH88" s="314">
        <v>9430</v>
      </c>
      <c r="AI88" s="314">
        <v>9430</v>
      </c>
      <c r="AJ88" s="314">
        <v>9430</v>
      </c>
      <c r="AK88" s="314">
        <v>9430</v>
      </c>
      <c r="AL88" s="314">
        <v>9430</v>
      </c>
    </row>
    <row r="89" spans="3:38">
      <c r="C89" s="51"/>
      <c r="E89" s="52" t="s">
        <v>94</v>
      </c>
      <c r="F89" s="311">
        <v>45272</v>
      </c>
      <c r="G89" s="312">
        <v>53496.34</v>
      </c>
      <c r="H89" s="312">
        <v>57842.946799999998</v>
      </c>
      <c r="I89" s="312">
        <v>102980.46286827399</v>
      </c>
      <c r="J89" s="312">
        <v>181307.46203307618</v>
      </c>
      <c r="K89" s="312">
        <v>186287.38586793441</v>
      </c>
      <c r="L89" s="312">
        <v>189556.60428867242</v>
      </c>
      <c r="M89" s="312">
        <v>189072.3300920201</v>
      </c>
      <c r="N89" s="312">
        <v>189504.26580598071</v>
      </c>
      <c r="O89" s="312">
        <v>189949.15959136013</v>
      </c>
      <c r="P89" s="312">
        <v>190407.40019030092</v>
      </c>
      <c r="Q89" s="312">
        <v>190879.38800720996</v>
      </c>
      <c r="R89" s="312">
        <v>191365.53545862625</v>
      </c>
      <c r="S89" s="312">
        <v>191676.677756905</v>
      </c>
      <c r="T89" s="312">
        <v>191814.80512530197</v>
      </c>
      <c r="U89" s="312">
        <v>191957.0763147508</v>
      </c>
      <c r="V89" s="312">
        <v>192103.61563988312</v>
      </c>
      <c r="W89" s="312">
        <v>192254.55114476942</v>
      </c>
      <c r="X89" s="312">
        <v>192410.0147148023</v>
      </c>
      <c r="Y89" s="312">
        <v>192570.14219193617</v>
      </c>
      <c r="Z89" s="312">
        <v>192735.07349338406</v>
      </c>
      <c r="AA89" s="312">
        <v>192904.95273387537</v>
      </c>
      <c r="AB89" s="312">
        <v>193079.92835158142</v>
      </c>
      <c r="AC89" s="312">
        <v>193260.15323781865</v>
      </c>
      <c r="AD89" s="312">
        <v>193445.78487064302</v>
      </c>
      <c r="AE89" s="312">
        <v>193636.98545245209</v>
      </c>
      <c r="AF89" s="312">
        <v>193833.92205171546</v>
      </c>
      <c r="AG89" s="312">
        <v>194036.76674895672</v>
      </c>
      <c r="AH89" s="312">
        <v>194245.69678711522</v>
      </c>
      <c r="AI89" s="312">
        <v>194387.98769922904</v>
      </c>
      <c r="AJ89" s="312">
        <v>194387.98769922904</v>
      </c>
      <c r="AK89" s="312">
        <v>194387.98769922904</v>
      </c>
      <c r="AL89" s="312">
        <v>194387.98769922904</v>
      </c>
    </row>
    <row r="90" spans="3:38" ht="3.75" customHeight="1">
      <c r="E90" s="52"/>
      <c r="F90" s="64"/>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row>
    <row r="91" spans="3:38">
      <c r="C91" s="412"/>
      <c r="E91" s="60" t="s">
        <v>217</v>
      </c>
      <c r="F91" s="331"/>
      <c r="G91" s="333"/>
      <c r="H91" s="333"/>
      <c r="I91" s="333"/>
      <c r="J91" s="333"/>
      <c r="K91" s="333"/>
      <c r="L91" s="333"/>
      <c r="M91" s="333"/>
      <c r="N91" s="333"/>
      <c r="O91" s="333"/>
      <c r="P91" s="333"/>
      <c r="Q91" s="333"/>
      <c r="R91" s="333"/>
      <c r="S91" s="333"/>
      <c r="T91" s="333"/>
      <c r="U91" s="333"/>
      <c r="V91" s="333"/>
      <c r="W91" s="333"/>
      <c r="X91" s="333"/>
      <c r="Y91" s="333"/>
      <c r="Z91" s="333"/>
      <c r="AA91" s="333"/>
      <c r="AB91" s="333"/>
      <c r="AC91" s="333"/>
      <c r="AD91" s="333"/>
      <c r="AE91" s="333"/>
      <c r="AF91" s="333"/>
      <c r="AG91" s="333"/>
      <c r="AH91" s="333"/>
      <c r="AI91" s="333"/>
      <c r="AJ91" s="333"/>
      <c r="AK91" s="333"/>
      <c r="AL91" s="333"/>
    </row>
    <row r="92" spans="3:38">
      <c r="C92" s="412"/>
      <c r="E92" s="53" t="s">
        <v>397</v>
      </c>
      <c r="F92" s="419"/>
      <c r="G92" s="338"/>
      <c r="H92" s="338"/>
      <c r="I92" s="338">
        <v>3.9229850857738731</v>
      </c>
      <c r="J92" s="338">
        <v>3.8247443387398992</v>
      </c>
      <c r="K92" s="338">
        <v>3.7249808601269008</v>
      </c>
      <c r="L92" s="338">
        <v>3.6236710475953999</v>
      </c>
      <c r="M92" s="338">
        <v>3.5207909329696605</v>
      </c>
      <c r="N92" s="338">
        <v>3.4163161765672214</v>
      </c>
      <c r="O92" s="338">
        <v>3.3102220614405455</v>
      </c>
      <c r="P92" s="338">
        <v>3.2024834875294066</v>
      </c>
      <c r="Q92" s="338">
        <v>3.0930749657226442</v>
      </c>
      <c r="R92" s="338">
        <v>2.9819706118278773</v>
      </c>
      <c r="S92" s="338">
        <v>2.8691441404477409</v>
      </c>
      <c r="T92" s="338">
        <v>2.7545688587612127</v>
      </c>
      <c r="U92" s="338">
        <v>2.6382176602085434</v>
      </c>
      <c r="V92" s="338">
        <v>2.5200630180783072</v>
      </c>
      <c r="W92" s="338">
        <v>2.4000769789950538</v>
      </c>
      <c r="X92" s="338">
        <v>2.2782311563060089</v>
      </c>
      <c r="Y92" s="338">
        <v>2.1544967233652841</v>
      </c>
      <c r="Z92" s="338">
        <v>2.0288444067139788</v>
      </c>
      <c r="AA92" s="338">
        <v>1.9012444791545771</v>
      </c>
      <c r="AB92" s="338">
        <v>1.7716667527180052</v>
      </c>
      <c r="AC92" s="338">
        <v>1.6400805715216662</v>
      </c>
      <c r="AD92" s="338">
        <v>1.5064548045167836</v>
      </c>
      <c r="AE92" s="338">
        <v>1.3707578381233256</v>
      </c>
      <c r="AF92" s="338">
        <v>1.2329575687507695</v>
      </c>
      <c r="AG92" s="338">
        <v>1.0930213952029382</v>
      </c>
      <c r="AH92" s="338">
        <v>0.95091621096511536</v>
      </c>
      <c r="AI92" s="338">
        <v>0.80660839637160642</v>
      </c>
      <c r="AJ92" s="338">
        <v>0.6600638106518979</v>
      </c>
      <c r="AK92" s="338">
        <v>0.51124778385353442</v>
      </c>
      <c r="AL92" s="338">
        <v>0.36012510863979613</v>
      </c>
    </row>
    <row r="93" spans="3:38">
      <c r="C93" s="412"/>
      <c r="E93" s="53" t="s">
        <v>396</v>
      </c>
      <c r="F93" s="419"/>
      <c r="G93" s="338"/>
      <c r="H93" s="338"/>
      <c r="I93" s="338">
        <v>3.8273025227062178</v>
      </c>
      <c r="J93" s="338">
        <v>3.7314578914535605</v>
      </c>
      <c r="K93" s="338">
        <v>3.6341276684164887</v>
      </c>
      <c r="L93" s="338">
        <v>3.5352888269223417</v>
      </c>
      <c r="M93" s="338">
        <v>3.4349179833850347</v>
      </c>
      <c r="N93" s="338">
        <v>3.3329913917728993</v>
      </c>
      <c r="O93" s="338">
        <v>3.2294849379907764</v>
      </c>
      <c r="P93" s="338">
        <v>3.1243741341750311</v>
      </c>
      <c r="Q93" s="338">
        <v>3.0176341129001409</v>
      </c>
      <c r="R93" s="338">
        <v>2.9092396212954901</v>
      </c>
      <c r="S93" s="338">
        <v>2.799165015070967</v>
      </c>
      <c r="T93" s="338">
        <v>2.6873842524499638</v>
      </c>
      <c r="U93" s="338">
        <v>2.5738708880083352</v>
      </c>
      <c r="V93" s="338">
        <v>2.4585980664178608</v>
      </c>
      <c r="W93" s="338">
        <v>2.3415385160927356</v>
      </c>
      <c r="X93" s="338">
        <v>2.22266454273757</v>
      </c>
      <c r="Y93" s="338">
        <v>2.1019480227953995</v>
      </c>
      <c r="Z93" s="338">
        <v>1.9793603967941258</v>
      </c>
      <c r="AA93" s="338">
        <v>1.8548726625898315</v>
      </c>
      <c r="AB93" s="338">
        <v>1.7284553685053712</v>
      </c>
      <c r="AC93" s="338">
        <v>1.6000786063626014</v>
      </c>
      <c r="AD93" s="338">
        <v>1.4697120044066183</v>
      </c>
      <c r="AE93" s="338">
        <v>1.3373247201203178</v>
      </c>
      <c r="AF93" s="338">
        <v>1.20288543292758</v>
      </c>
      <c r="AG93" s="338">
        <v>1.0663623367833543</v>
      </c>
      <c r="AH93" s="338">
        <v>0.92772313264889317</v>
      </c>
      <c r="AI93" s="338">
        <v>0.78693502085034783</v>
      </c>
      <c r="AJ93" s="338">
        <v>0.64396469331892481</v>
      </c>
      <c r="AK93" s="338">
        <v>0.49877832571076536</v>
      </c>
      <c r="AL93" s="338">
        <v>0.3513415694046792</v>
      </c>
    </row>
    <row r="94" spans="3:38">
      <c r="C94" s="412"/>
      <c r="E94" s="53" t="s">
        <v>67</v>
      </c>
      <c r="F94" s="419"/>
      <c r="G94" s="338"/>
      <c r="H94" s="338"/>
      <c r="I94" s="338">
        <v>0.312</v>
      </c>
      <c r="J94" s="338">
        <v>0.26400000000000001</v>
      </c>
      <c r="K94" s="338">
        <v>0.26400000000000001</v>
      </c>
      <c r="L94" s="338">
        <v>0.26400000000000001</v>
      </c>
      <c r="M94" s="338">
        <v>0.26400000000000001</v>
      </c>
      <c r="N94" s="338">
        <v>0.26400000000000001</v>
      </c>
      <c r="O94" s="338">
        <v>0.26400000000000001</v>
      </c>
      <c r="P94" s="338">
        <v>0.26400000000000001</v>
      </c>
      <c r="Q94" s="338">
        <v>0.26400000000000001</v>
      </c>
      <c r="R94" s="338">
        <v>0.26400000000000001</v>
      </c>
      <c r="S94" s="338">
        <v>0.26400000000000001</v>
      </c>
      <c r="T94" s="338">
        <v>0.26400000000000001</v>
      </c>
      <c r="U94" s="338">
        <v>0.26400000000000001</v>
      </c>
      <c r="V94" s="338">
        <v>0.26400000000000001</v>
      </c>
      <c r="W94" s="338">
        <v>0.26400000000000001</v>
      </c>
      <c r="X94" s="338">
        <v>0.26400000000000001</v>
      </c>
      <c r="Y94" s="338">
        <v>0.26400000000000001</v>
      </c>
      <c r="Z94" s="338">
        <v>0.26400000000000001</v>
      </c>
      <c r="AA94" s="338">
        <v>0.26400000000000001</v>
      </c>
      <c r="AB94" s="338">
        <v>0.26400000000000001</v>
      </c>
      <c r="AC94" s="338">
        <v>0.26400000000000001</v>
      </c>
      <c r="AD94" s="338">
        <v>0.26400000000000001</v>
      </c>
      <c r="AE94" s="338">
        <v>0.26400000000000001</v>
      </c>
      <c r="AF94" s="338">
        <v>0.26400000000000001</v>
      </c>
      <c r="AG94" s="338">
        <v>0.26400000000000001</v>
      </c>
      <c r="AH94" s="338">
        <v>0.26400000000000001</v>
      </c>
      <c r="AI94" s="338">
        <v>0.26400000000000001</v>
      </c>
      <c r="AJ94" s="338">
        <v>0.26400000000000001</v>
      </c>
      <c r="AK94" s="338">
        <v>0.26400000000000001</v>
      </c>
      <c r="AL94" s="338">
        <v>0.26400000000000001</v>
      </c>
    </row>
    <row r="95" spans="3:38">
      <c r="C95" s="412"/>
      <c r="E95" s="53" t="s">
        <v>256</v>
      </c>
      <c r="F95" s="419">
        <v>29.85</v>
      </c>
      <c r="G95" s="338">
        <v>29.85</v>
      </c>
      <c r="H95" s="338">
        <v>29.85</v>
      </c>
      <c r="I95" s="338">
        <v>29.85</v>
      </c>
      <c r="J95" s="338">
        <v>29.85</v>
      </c>
      <c r="K95" s="338">
        <v>29.85</v>
      </c>
      <c r="L95" s="338">
        <v>29.85</v>
      </c>
      <c r="M95" s="338">
        <v>29.85</v>
      </c>
      <c r="N95" s="338">
        <v>29.85</v>
      </c>
      <c r="O95" s="338">
        <v>29.85</v>
      </c>
      <c r="P95" s="338">
        <v>29.85</v>
      </c>
      <c r="Q95" s="338">
        <v>29.85</v>
      </c>
      <c r="R95" s="338">
        <v>29.85</v>
      </c>
      <c r="S95" s="338">
        <v>29.85</v>
      </c>
      <c r="T95" s="338">
        <v>29.85</v>
      </c>
      <c r="U95" s="338">
        <v>29.85</v>
      </c>
      <c r="V95" s="338">
        <v>29.85</v>
      </c>
      <c r="W95" s="338">
        <v>29.85</v>
      </c>
      <c r="X95" s="338">
        <v>29.85</v>
      </c>
      <c r="Y95" s="338">
        <v>29.85</v>
      </c>
      <c r="Z95" s="338">
        <v>29.85</v>
      </c>
      <c r="AA95" s="338">
        <v>29.85</v>
      </c>
      <c r="AB95" s="338">
        <v>29.85</v>
      </c>
      <c r="AC95" s="338">
        <v>29.85</v>
      </c>
      <c r="AD95" s="338">
        <v>29.85</v>
      </c>
      <c r="AE95" s="338">
        <v>29.85</v>
      </c>
      <c r="AF95" s="338">
        <v>29.85</v>
      </c>
      <c r="AG95" s="338">
        <v>29.85</v>
      </c>
      <c r="AH95" s="338">
        <v>29.85</v>
      </c>
      <c r="AI95" s="338">
        <v>29.85</v>
      </c>
      <c r="AJ95" s="338">
        <v>29.85</v>
      </c>
      <c r="AK95" s="338">
        <v>29.85</v>
      </c>
      <c r="AL95" s="338">
        <v>29.85</v>
      </c>
    </row>
    <row r="96" spans="3:38">
      <c r="C96" s="412"/>
      <c r="E96" s="53" t="s">
        <v>257</v>
      </c>
      <c r="F96" s="419">
        <v>15.85</v>
      </c>
      <c r="G96" s="338">
        <v>15.85</v>
      </c>
      <c r="H96" s="338">
        <v>15.85</v>
      </c>
      <c r="I96" s="338">
        <v>15.85</v>
      </c>
      <c r="J96" s="338">
        <v>15.85</v>
      </c>
      <c r="K96" s="338">
        <v>15.85</v>
      </c>
      <c r="L96" s="338">
        <v>15.85</v>
      </c>
      <c r="M96" s="338">
        <v>15.85</v>
      </c>
      <c r="N96" s="338">
        <v>15.85</v>
      </c>
      <c r="O96" s="338">
        <v>15.85</v>
      </c>
      <c r="P96" s="338">
        <v>15.85</v>
      </c>
      <c r="Q96" s="338">
        <v>15.85</v>
      </c>
      <c r="R96" s="338">
        <v>15.85</v>
      </c>
      <c r="S96" s="338">
        <v>15.85</v>
      </c>
      <c r="T96" s="338">
        <v>15.85</v>
      </c>
      <c r="U96" s="338">
        <v>15.85</v>
      </c>
      <c r="V96" s="338">
        <v>15.85</v>
      </c>
      <c r="W96" s="338">
        <v>15.85</v>
      </c>
      <c r="X96" s="338">
        <v>15.85</v>
      </c>
      <c r="Y96" s="338">
        <v>15.85</v>
      </c>
      <c r="Z96" s="338">
        <v>15.85</v>
      </c>
      <c r="AA96" s="338">
        <v>15.85</v>
      </c>
      <c r="AB96" s="338">
        <v>15.85</v>
      </c>
      <c r="AC96" s="338">
        <v>15.85</v>
      </c>
      <c r="AD96" s="338">
        <v>15.85</v>
      </c>
      <c r="AE96" s="338">
        <v>15.85</v>
      </c>
      <c r="AF96" s="338">
        <v>15.85</v>
      </c>
      <c r="AG96" s="338">
        <v>15.85</v>
      </c>
      <c r="AH96" s="338">
        <v>15.85</v>
      </c>
      <c r="AI96" s="338">
        <v>15.85</v>
      </c>
      <c r="AJ96" s="338">
        <v>15.85</v>
      </c>
      <c r="AK96" s="338">
        <v>15.85</v>
      </c>
      <c r="AL96" s="338">
        <v>15.85</v>
      </c>
    </row>
    <row r="97" spans="1:40">
      <c r="C97" s="412"/>
      <c r="E97" s="53" t="s">
        <v>258</v>
      </c>
      <c r="F97" s="419">
        <v>5.14</v>
      </c>
      <c r="G97" s="338">
        <v>5.14</v>
      </c>
      <c r="H97" s="338">
        <v>5.14</v>
      </c>
      <c r="I97" s="338">
        <v>5.14</v>
      </c>
      <c r="J97" s="338">
        <v>5.14</v>
      </c>
      <c r="K97" s="338">
        <v>5.14</v>
      </c>
      <c r="L97" s="338">
        <v>5.14</v>
      </c>
      <c r="M97" s="338">
        <v>5.14</v>
      </c>
      <c r="N97" s="338">
        <v>5.14</v>
      </c>
      <c r="O97" s="338">
        <v>5.14</v>
      </c>
      <c r="P97" s="338">
        <v>5.14</v>
      </c>
      <c r="Q97" s="338">
        <v>5.14</v>
      </c>
      <c r="R97" s="338">
        <v>5.14</v>
      </c>
      <c r="S97" s="338">
        <v>5.14</v>
      </c>
      <c r="T97" s="338">
        <v>5.14</v>
      </c>
      <c r="U97" s="338">
        <v>5.14</v>
      </c>
      <c r="V97" s="338">
        <v>5.14</v>
      </c>
      <c r="W97" s="338">
        <v>5.14</v>
      </c>
      <c r="X97" s="338">
        <v>5.14</v>
      </c>
      <c r="Y97" s="338">
        <v>5.14</v>
      </c>
      <c r="Z97" s="338">
        <v>5.14</v>
      </c>
      <c r="AA97" s="338">
        <v>5.14</v>
      </c>
      <c r="AB97" s="338">
        <v>5.14</v>
      </c>
      <c r="AC97" s="338">
        <v>5.14</v>
      </c>
      <c r="AD97" s="338">
        <v>5.14</v>
      </c>
      <c r="AE97" s="338">
        <v>5.14</v>
      </c>
      <c r="AF97" s="338">
        <v>5.14</v>
      </c>
      <c r="AG97" s="338">
        <v>5.14</v>
      </c>
      <c r="AH97" s="338">
        <v>5.14</v>
      </c>
      <c r="AI97" s="338">
        <v>5.14</v>
      </c>
      <c r="AJ97" s="338">
        <v>5.14</v>
      </c>
      <c r="AK97" s="338">
        <v>5.14</v>
      </c>
      <c r="AL97" s="338">
        <v>5.14</v>
      </c>
    </row>
    <row r="98" spans="1:40">
      <c r="C98" s="412"/>
      <c r="E98" s="53" t="s">
        <v>259</v>
      </c>
      <c r="F98" s="419">
        <v>0.27</v>
      </c>
      <c r="G98" s="338">
        <v>0.27</v>
      </c>
      <c r="H98" s="338">
        <v>0.27</v>
      </c>
      <c r="I98" s="338">
        <v>0.27</v>
      </c>
      <c r="J98" s="338">
        <v>0.27</v>
      </c>
      <c r="K98" s="338">
        <v>0.27</v>
      </c>
      <c r="L98" s="338">
        <v>0.27</v>
      </c>
      <c r="M98" s="338">
        <v>0.27</v>
      </c>
      <c r="N98" s="338">
        <v>0.27</v>
      </c>
      <c r="O98" s="338">
        <v>0.27</v>
      </c>
      <c r="P98" s="338">
        <v>0.27</v>
      </c>
      <c r="Q98" s="338">
        <v>0.27</v>
      </c>
      <c r="R98" s="338">
        <v>0.27</v>
      </c>
      <c r="S98" s="338">
        <v>0.27</v>
      </c>
      <c r="T98" s="338">
        <v>0.27</v>
      </c>
      <c r="U98" s="338">
        <v>0.27</v>
      </c>
      <c r="V98" s="338">
        <v>0.27</v>
      </c>
      <c r="W98" s="338">
        <v>0.27</v>
      </c>
      <c r="X98" s="338">
        <v>0.27</v>
      </c>
      <c r="Y98" s="338">
        <v>0.27</v>
      </c>
      <c r="Z98" s="338">
        <v>0.27</v>
      </c>
      <c r="AA98" s="338">
        <v>0.27</v>
      </c>
      <c r="AB98" s="338">
        <v>0.27</v>
      </c>
      <c r="AC98" s="338">
        <v>0.27</v>
      </c>
      <c r="AD98" s="338">
        <v>0.27</v>
      </c>
      <c r="AE98" s="338">
        <v>0.27</v>
      </c>
      <c r="AF98" s="338">
        <v>0.27</v>
      </c>
      <c r="AG98" s="338">
        <v>0.27</v>
      </c>
      <c r="AH98" s="338">
        <v>0.27</v>
      </c>
      <c r="AI98" s="338">
        <v>0.27</v>
      </c>
      <c r="AJ98" s="338">
        <v>0.27</v>
      </c>
      <c r="AK98" s="338">
        <v>0.27</v>
      </c>
      <c r="AL98" s="338">
        <v>0.27</v>
      </c>
    </row>
    <row r="99" spans="1:40" s="60" customFormat="1">
      <c r="A99" s="59"/>
      <c r="C99" s="420"/>
      <c r="E99" s="52" t="s">
        <v>218</v>
      </c>
      <c r="F99" s="421">
        <v>1.8080038011158113</v>
      </c>
      <c r="G99" s="266">
        <v>1.7156652859158494</v>
      </c>
      <c r="H99" s="266">
        <v>1.6885255901718559</v>
      </c>
      <c r="I99" s="266">
        <v>1.6286382594343096</v>
      </c>
      <c r="J99" s="266">
        <v>1.5884463461295413</v>
      </c>
      <c r="K99" s="266">
        <v>1.5809281913275661</v>
      </c>
      <c r="L99" s="266">
        <v>1.5640194823599207</v>
      </c>
      <c r="M99" s="266">
        <v>1.5425049470690055</v>
      </c>
      <c r="N99" s="266">
        <v>1.5321987084618951</v>
      </c>
      <c r="O99" s="266">
        <v>1.5218132121554877</v>
      </c>
      <c r="P99" s="266">
        <v>1.5113496986026211</v>
      </c>
      <c r="Q99" s="266">
        <v>1.5008095021767145</v>
      </c>
      <c r="R99" s="266">
        <v>1.4901940547835293</v>
      </c>
      <c r="S99" s="266">
        <v>1.4771848323538683</v>
      </c>
      <c r="T99" s="266">
        <v>1.4618006198965801</v>
      </c>
      <c r="U99" s="266">
        <v>1.4462049102818617</v>
      </c>
      <c r="V99" s="266">
        <v>1.4303953072312423</v>
      </c>
      <c r="W99" s="266">
        <v>1.4143694068133654</v>
      </c>
      <c r="X99" s="266">
        <v>1.398124798327953</v>
      </c>
      <c r="Y99" s="266">
        <v>1.3816590652375758</v>
      </c>
      <c r="Z99" s="266">
        <v>1.3649697861490944</v>
      </c>
      <c r="AA99" s="266">
        <v>1.3480545358466876</v>
      </c>
      <c r="AB99" s="266">
        <v>1.330910886378454</v>
      </c>
      <c r="AC99" s="266">
        <v>1.3135364081986327</v>
      </c>
      <c r="AD99" s="266">
        <v>1.2959286713675544</v>
      </c>
      <c r="AE99" s="266">
        <v>1.2780852468115038</v>
      </c>
      <c r="AF99" s="266">
        <v>1.2600037076447397</v>
      </c>
      <c r="AG99" s="266">
        <v>1.2416816305559892</v>
      </c>
      <c r="AH99" s="266">
        <v>1.2231165972618085</v>
      </c>
      <c r="AI99" s="266">
        <v>1.2034408263104779</v>
      </c>
      <c r="AJ99" s="266">
        <v>1.1817471839262474</v>
      </c>
      <c r="AK99" s="266">
        <v>1.1597172900850619</v>
      </c>
      <c r="AL99" s="266">
        <v>1.1373459328893376</v>
      </c>
      <c r="AN99" s="59"/>
    </row>
    <row r="100" spans="1:40" ht="3.75" customHeight="1">
      <c r="C100" s="412"/>
      <c r="E100" s="52"/>
      <c r="F100" s="64"/>
      <c r="G100" s="65"/>
      <c r="H100" s="65"/>
      <c r="I100" s="65"/>
      <c r="J100" s="65"/>
      <c r="K100" s="65"/>
      <c r="L100" s="65"/>
      <c r="M100" s="65"/>
      <c r="N100" s="65"/>
      <c r="O100" s="65"/>
      <c r="P100" s="65"/>
      <c r="Q100" s="65"/>
      <c r="R100" s="65"/>
      <c r="S100" s="65"/>
      <c r="T100" s="65"/>
      <c r="U100" s="65"/>
      <c r="V100" s="65"/>
      <c r="W100" s="65"/>
      <c r="X100" s="65"/>
      <c r="Y100" s="65"/>
      <c r="Z100" s="65"/>
      <c r="AA100" s="65"/>
      <c r="AB100" s="65"/>
      <c r="AC100" s="65"/>
      <c r="AD100" s="65"/>
      <c r="AE100" s="65"/>
      <c r="AF100" s="65"/>
      <c r="AG100" s="65"/>
      <c r="AH100" s="65"/>
      <c r="AI100" s="65"/>
      <c r="AJ100" s="65"/>
      <c r="AK100" s="65"/>
      <c r="AL100" s="65"/>
    </row>
    <row r="101" spans="1:40">
      <c r="C101" s="412"/>
      <c r="E101" s="53" t="s">
        <v>397</v>
      </c>
      <c r="F101" s="313">
        <v>0</v>
      </c>
      <c r="G101" s="314">
        <v>0</v>
      </c>
      <c r="H101" s="314">
        <v>0</v>
      </c>
      <c r="I101" s="314">
        <v>0</v>
      </c>
      <c r="J101" s="314">
        <v>0</v>
      </c>
      <c r="K101" s="314">
        <v>0</v>
      </c>
      <c r="L101" s="314">
        <v>0</v>
      </c>
      <c r="M101" s="314">
        <v>0</v>
      </c>
      <c r="N101" s="314">
        <v>0</v>
      </c>
      <c r="O101" s="314">
        <v>0</v>
      </c>
      <c r="P101" s="314">
        <v>0</v>
      </c>
      <c r="Q101" s="314">
        <v>0</v>
      </c>
      <c r="R101" s="314">
        <v>0</v>
      </c>
      <c r="S101" s="314">
        <v>0</v>
      </c>
      <c r="T101" s="314">
        <v>0</v>
      </c>
      <c r="U101" s="314">
        <v>0</v>
      </c>
      <c r="V101" s="314">
        <v>0</v>
      </c>
      <c r="W101" s="314">
        <v>0</v>
      </c>
      <c r="X101" s="314">
        <v>0</v>
      </c>
      <c r="Y101" s="314">
        <v>0</v>
      </c>
      <c r="Z101" s="314">
        <v>0</v>
      </c>
      <c r="AA101" s="314">
        <v>0</v>
      </c>
      <c r="AB101" s="314">
        <v>0</v>
      </c>
      <c r="AC101" s="314">
        <v>0</v>
      </c>
      <c r="AD101" s="314">
        <v>0</v>
      </c>
      <c r="AE101" s="314">
        <v>0</v>
      </c>
      <c r="AF101" s="314">
        <v>0</v>
      </c>
      <c r="AG101" s="314">
        <v>0</v>
      </c>
      <c r="AH101" s="314">
        <v>0</v>
      </c>
      <c r="AI101" s="314">
        <v>0</v>
      </c>
      <c r="AJ101" s="314">
        <v>0</v>
      </c>
      <c r="AK101" s="314">
        <v>0</v>
      </c>
      <c r="AL101" s="314">
        <v>0</v>
      </c>
    </row>
    <row r="102" spans="1:40">
      <c r="C102" s="412"/>
      <c r="E102" s="53" t="s">
        <v>396</v>
      </c>
      <c r="F102" s="313">
        <v>0</v>
      </c>
      <c r="G102" s="314">
        <v>0</v>
      </c>
      <c r="H102" s="314">
        <v>0</v>
      </c>
      <c r="I102" s="314">
        <v>9580.4308617184288</v>
      </c>
      <c r="J102" s="314">
        <v>28158.903718477988</v>
      </c>
      <c r="K102" s="314">
        <v>27902.192631632159</v>
      </c>
      <c r="L102" s="314">
        <v>27143.325402276201</v>
      </c>
      <c r="M102" s="314">
        <v>26372.69573086522</v>
      </c>
      <c r="N102" s="314">
        <v>25590.121299547369</v>
      </c>
      <c r="O102" s="314">
        <v>24795.416964544092</v>
      </c>
      <c r="P102" s="314">
        <v>23988.394712348272</v>
      </c>
      <c r="Q102" s="314">
        <v>23168.863615243412</v>
      </c>
      <c r="R102" s="314">
        <v>22336.629786133424</v>
      </c>
      <c r="S102" s="314">
        <v>21491.496332672232</v>
      </c>
      <c r="T102" s="314">
        <v>20633.263310682389</v>
      </c>
      <c r="U102" s="314">
        <v>19761.727676851708</v>
      </c>
      <c r="V102" s="314">
        <v>18876.683240696646</v>
      </c>
      <c r="W102" s="314">
        <v>17977.92061578119</v>
      </c>
      <c r="X102" s="314">
        <v>17065.22717017954</v>
      </c>
      <c r="Y102" s="314">
        <v>16138.386976171065</v>
      </c>
      <c r="Z102" s="314">
        <v>15197.180759155461</v>
      </c>
      <c r="AA102" s="314">
        <v>14241.385845776111</v>
      </c>
      <c r="AB102" s="314">
        <v>13270.776111239382</v>
      </c>
      <c r="AC102" s="314">
        <v>12285.121925817333</v>
      </c>
      <c r="AD102" s="314">
        <v>11284.190100521238</v>
      </c>
      <c r="AE102" s="314">
        <v>10267.743831933058</v>
      </c>
      <c r="AF102" s="314">
        <v>9235.5426461817642</v>
      </c>
      <c r="AG102" s="314">
        <v>8187.34234205132</v>
      </c>
      <c r="AH102" s="314">
        <v>7122.8949332068551</v>
      </c>
      <c r="AI102" s="314">
        <v>6041.948589525301</v>
      </c>
      <c r="AJ102" s="314">
        <v>4944.2475775166804</v>
      </c>
      <c r="AK102" s="314">
        <v>3829.532199821931</v>
      </c>
      <c r="AL102" s="314">
        <v>2697.5387337729117</v>
      </c>
    </row>
    <row r="103" spans="1:40">
      <c r="C103" s="412"/>
      <c r="E103" s="53" t="s">
        <v>67</v>
      </c>
      <c r="F103" s="313">
        <v>0</v>
      </c>
      <c r="G103" s="314">
        <v>0</v>
      </c>
      <c r="H103" s="314">
        <v>0</v>
      </c>
      <c r="I103" s="314">
        <v>1386.2616241446576</v>
      </c>
      <c r="J103" s="314">
        <v>3384.4437175758908</v>
      </c>
      <c r="K103" s="314">
        <v>3445.8074111999999</v>
      </c>
      <c r="L103" s="314">
        <v>3445.8074111999999</v>
      </c>
      <c r="M103" s="314">
        <v>3445.8074111999999</v>
      </c>
      <c r="N103" s="314">
        <v>3445.8074111999999</v>
      </c>
      <c r="O103" s="314">
        <v>3445.8074111999999</v>
      </c>
      <c r="P103" s="314">
        <v>3445.8074111999999</v>
      </c>
      <c r="Q103" s="314">
        <v>3445.8074111999999</v>
      </c>
      <c r="R103" s="314">
        <v>3445.8074111999999</v>
      </c>
      <c r="S103" s="314">
        <v>3445.8074111999999</v>
      </c>
      <c r="T103" s="314">
        <v>3445.8074111999999</v>
      </c>
      <c r="U103" s="314">
        <v>3445.8074111999999</v>
      </c>
      <c r="V103" s="314">
        <v>3445.8074111999999</v>
      </c>
      <c r="W103" s="314">
        <v>3445.8074111999999</v>
      </c>
      <c r="X103" s="314">
        <v>3445.8074111999999</v>
      </c>
      <c r="Y103" s="314">
        <v>3445.8074111999999</v>
      </c>
      <c r="Z103" s="314">
        <v>3445.8074111999999</v>
      </c>
      <c r="AA103" s="314">
        <v>3445.8074111999999</v>
      </c>
      <c r="AB103" s="314">
        <v>3445.8074111999999</v>
      </c>
      <c r="AC103" s="314">
        <v>3445.8074111999999</v>
      </c>
      <c r="AD103" s="314">
        <v>3445.8074111999999</v>
      </c>
      <c r="AE103" s="314">
        <v>3445.8074111999999</v>
      </c>
      <c r="AF103" s="314">
        <v>3445.8074111999999</v>
      </c>
      <c r="AG103" s="314">
        <v>3445.8074111999999</v>
      </c>
      <c r="AH103" s="314">
        <v>3445.8074111999999</v>
      </c>
      <c r="AI103" s="314">
        <v>3445.8074111999999</v>
      </c>
      <c r="AJ103" s="314">
        <v>3445.8074111999999</v>
      </c>
      <c r="AK103" s="314">
        <v>3445.8074111999999</v>
      </c>
      <c r="AL103" s="314">
        <v>3445.8074111999999</v>
      </c>
    </row>
    <row r="104" spans="1:40">
      <c r="C104" s="412"/>
      <c r="E104" s="53" t="s">
        <v>256</v>
      </c>
      <c r="F104" s="313">
        <v>5850.6</v>
      </c>
      <c r="G104" s="314">
        <v>5967.612000000001</v>
      </c>
      <c r="H104" s="314">
        <v>6086.9642400000012</v>
      </c>
      <c r="I104" s="314">
        <v>6208.7035248000011</v>
      </c>
      <c r="J104" s="314">
        <v>6332.8775952960013</v>
      </c>
      <c r="K104" s="314">
        <v>6459.5351472019211</v>
      </c>
      <c r="L104" s="314">
        <v>6653.3212016179787</v>
      </c>
      <c r="M104" s="314">
        <v>6852.9208376665183</v>
      </c>
      <c r="N104" s="314">
        <v>7058.5084627965134</v>
      </c>
      <c r="O104" s="314">
        <v>7270.2637166804097</v>
      </c>
      <c r="P104" s="314">
        <v>7488.3716281808211</v>
      </c>
      <c r="Q104" s="314">
        <v>7713.0227770262454</v>
      </c>
      <c r="R104" s="314">
        <v>7944.413460337033</v>
      </c>
      <c r="S104" s="314">
        <v>8059.5</v>
      </c>
      <c r="T104" s="314">
        <v>8059.5</v>
      </c>
      <c r="U104" s="314">
        <v>8059.5</v>
      </c>
      <c r="V104" s="314">
        <v>8059.5</v>
      </c>
      <c r="W104" s="314">
        <v>8059.5</v>
      </c>
      <c r="X104" s="314">
        <v>8059.5</v>
      </c>
      <c r="Y104" s="314">
        <v>8059.5</v>
      </c>
      <c r="Z104" s="314">
        <v>8059.5</v>
      </c>
      <c r="AA104" s="314">
        <v>8059.5</v>
      </c>
      <c r="AB104" s="314">
        <v>8059.5</v>
      </c>
      <c r="AC104" s="314">
        <v>8059.5</v>
      </c>
      <c r="AD104" s="314">
        <v>8059.5</v>
      </c>
      <c r="AE104" s="314">
        <v>8059.5</v>
      </c>
      <c r="AF104" s="314">
        <v>8059.5</v>
      </c>
      <c r="AG104" s="314">
        <v>8059.5</v>
      </c>
      <c r="AH104" s="314">
        <v>8059.5</v>
      </c>
      <c r="AI104" s="314">
        <v>8059.5</v>
      </c>
      <c r="AJ104" s="314">
        <v>8059.5</v>
      </c>
      <c r="AK104" s="314">
        <v>8059.5</v>
      </c>
      <c r="AL104" s="314">
        <v>8059.5</v>
      </c>
    </row>
    <row r="105" spans="1:40">
      <c r="C105" s="412"/>
      <c r="E105" s="53" t="s">
        <v>257</v>
      </c>
      <c r="F105" s="313">
        <v>2139.75</v>
      </c>
      <c r="G105" s="314">
        <v>2182.5449999999996</v>
      </c>
      <c r="H105" s="314">
        <v>2226.1958999999997</v>
      </c>
      <c r="I105" s="314">
        <v>2270.7198179999996</v>
      </c>
      <c r="J105" s="314">
        <v>2316.1342143599995</v>
      </c>
      <c r="K105" s="314">
        <v>2362.4568986471995</v>
      </c>
      <c r="L105" s="314">
        <v>2433.3306056066158</v>
      </c>
      <c r="M105" s="314">
        <v>2506.3305237748145</v>
      </c>
      <c r="N105" s="314">
        <v>2581.5204394880593</v>
      </c>
      <c r="O105" s="314">
        <v>2658.9660526727012</v>
      </c>
      <c r="P105" s="314">
        <v>2738.7350342528821</v>
      </c>
      <c r="Q105" s="314">
        <v>2820.8970852804691</v>
      </c>
      <c r="R105" s="314">
        <v>2905.5239978388831</v>
      </c>
      <c r="S105" s="314">
        <v>2992.6897177740502</v>
      </c>
      <c r="T105" s="314">
        <v>3082.4704093072719</v>
      </c>
      <c r="U105" s="314">
        <v>3174.9445215864903</v>
      </c>
      <c r="V105" s="314">
        <v>3270.1928572340848</v>
      </c>
      <c r="W105" s="314">
        <v>3368.2986429511075</v>
      </c>
      <c r="X105" s="314">
        <v>3469.3476022396408</v>
      </c>
      <c r="Y105" s="314">
        <v>3573.4280303068304</v>
      </c>
      <c r="Z105" s="314">
        <v>3680.6308712160353</v>
      </c>
      <c r="AA105" s="314">
        <v>3791.0497973525166</v>
      </c>
      <c r="AB105" s="314">
        <v>3904.7812912730924</v>
      </c>
      <c r="AC105" s="314">
        <v>4021.9247300112852</v>
      </c>
      <c r="AD105" s="314">
        <v>4142.5824719116235</v>
      </c>
      <c r="AE105" s="314">
        <v>4266.859946068972</v>
      </c>
      <c r="AF105" s="314">
        <v>4394.8657444510409</v>
      </c>
      <c r="AG105" s="314">
        <v>4526.7117167845727</v>
      </c>
      <c r="AH105" s="314">
        <v>4662.5130682881099</v>
      </c>
      <c r="AI105" s="314">
        <v>4755</v>
      </c>
      <c r="AJ105" s="314">
        <v>4755</v>
      </c>
      <c r="AK105" s="314">
        <v>4755</v>
      </c>
      <c r="AL105" s="314">
        <v>4755</v>
      </c>
    </row>
    <row r="106" spans="1:40">
      <c r="C106" s="412"/>
      <c r="E106" s="53" t="s">
        <v>258</v>
      </c>
      <c r="F106" s="313">
        <v>17990</v>
      </c>
      <c r="G106" s="314">
        <v>22487.5</v>
      </c>
      <c r="H106" s="314">
        <v>24736.25</v>
      </c>
      <c r="I106" s="314">
        <v>27209.875</v>
      </c>
      <c r="J106" s="314">
        <v>29930.862500000003</v>
      </c>
      <c r="K106" s="314">
        <v>31427.405625000003</v>
      </c>
      <c r="L106" s="314">
        <v>32998.775906250004</v>
      </c>
      <c r="M106" s="314">
        <v>32381.999999999996</v>
      </c>
      <c r="N106" s="314">
        <v>32381.999999999996</v>
      </c>
      <c r="O106" s="314">
        <v>32381.999999999996</v>
      </c>
      <c r="P106" s="314">
        <v>32381.999999999996</v>
      </c>
      <c r="Q106" s="314">
        <v>32381.999999999996</v>
      </c>
      <c r="R106" s="314">
        <v>32381.999999999996</v>
      </c>
      <c r="S106" s="314">
        <v>32381.999999999996</v>
      </c>
      <c r="T106" s="314">
        <v>32381.999999999996</v>
      </c>
      <c r="U106" s="314">
        <v>32381.999999999996</v>
      </c>
      <c r="V106" s="314">
        <v>32381.999999999996</v>
      </c>
      <c r="W106" s="314">
        <v>32381.999999999996</v>
      </c>
      <c r="X106" s="314">
        <v>32381.999999999996</v>
      </c>
      <c r="Y106" s="314">
        <v>32381.999999999996</v>
      </c>
      <c r="Z106" s="314">
        <v>32381.999999999996</v>
      </c>
      <c r="AA106" s="314">
        <v>32381.999999999996</v>
      </c>
      <c r="AB106" s="314">
        <v>32381.999999999996</v>
      </c>
      <c r="AC106" s="314">
        <v>32381.999999999996</v>
      </c>
      <c r="AD106" s="314">
        <v>32381.999999999996</v>
      </c>
      <c r="AE106" s="314">
        <v>32381.999999999996</v>
      </c>
      <c r="AF106" s="314">
        <v>32381.999999999996</v>
      </c>
      <c r="AG106" s="314">
        <v>32381.999999999996</v>
      </c>
      <c r="AH106" s="314">
        <v>32381.999999999996</v>
      </c>
      <c r="AI106" s="314">
        <v>32381.999999999996</v>
      </c>
      <c r="AJ106" s="314">
        <v>32381.999999999996</v>
      </c>
      <c r="AK106" s="314">
        <v>32381.999999999996</v>
      </c>
      <c r="AL106" s="314">
        <v>32381.999999999996</v>
      </c>
    </row>
    <row r="107" spans="1:40">
      <c r="C107" s="412"/>
      <c r="E107" s="53" t="s">
        <v>259</v>
      </c>
      <c r="F107" s="313">
        <v>3510.0000000000005</v>
      </c>
      <c r="G107" s="314">
        <v>4212</v>
      </c>
      <c r="H107" s="314">
        <v>4633.2000000000007</v>
      </c>
      <c r="I107" s="314">
        <v>5096.5200000000004</v>
      </c>
      <c r="J107" s="314">
        <v>5606.1720000000014</v>
      </c>
      <c r="K107" s="314">
        <v>5886.4806000000008</v>
      </c>
      <c r="L107" s="314">
        <v>6180.8046300000015</v>
      </c>
      <c r="M107" s="314">
        <v>6210</v>
      </c>
      <c r="N107" s="314">
        <v>6210</v>
      </c>
      <c r="O107" s="314">
        <v>6210</v>
      </c>
      <c r="P107" s="314">
        <v>6210</v>
      </c>
      <c r="Q107" s="314">
        <v>6210</v>
      </c>
      <c r="R107" s="314">
        <v>6210</v>
      </c>
      <c r="S107" s="314">
        <v>6210</v>
      </c>
      <c r="T107" s="314">
        <v>6210</v>
      </c>
      <c r="U107" s="314">
        <v>6210</v>
      </c>
      <c r="V107" s="314">
        <v>6210</v>
      </c>
      <c r="W107" s="314">
        <v>6210</v>
      </c>
      <c r="X107" s="314">
        <v>6210</v>
      </c>
      <c r="Y107" s="314">
        <v>6210</v>
      </c>
      <c r="Z107" s="314">
        <v>6210</v>
      </c>
      <c r="AA107" s="314">
        <v>6210</v>
      </c>
      <c r="AB107" s="314">
        <v>6210</v>
      </c>
      <c r="AC107" s="314">
        <v>6210</v>
      </c>
      <c r="AD107" s="314">
        <v>6210</v>
      </c>
      <c r="AE107" s="314">
        <v>6210</v>
      </c>
      <c r="AF107" s="314">
        <v>6210</v>
      </c>
      <c r="AG107" s="314">
        <v>6210</v>
      </c>
      <c r="AH107" s="314">
        <v>6210</v>
      </c>
      <c r="AI107" s="314">
        <v>6210</v>
      </c>
      <c r="AJ107" s="314">
        <v>6210</v>
      </c>
      <c r="AK107" s="314">
        <v>6210</v>
      </c>
      <c r="AL107" s="314">
        <v>6210</v>
      </c>
    </row>
    <row r="108" spans="1:40">
      <c r="C108" s="412"/>
      <c r="E108" s="52" t="s">
        <v>219</v>
      </c>
      <c r="F108" s="311">
        <v>29490.35</v>
      </c>
      <c r="G108" s="312">
        <v>34849.656999999999</v>
      </c>
      <c r="H108" s="312">
        <v>37682.610140000004</v>
      </c>
      <c r="I108" s="312">
        <v>51752.510828663086</v>
      </c>
      <c r="J108" s="312">
        <v>75729.393745709895</v>
      </c>
      <c r="K108" s="312">
        <v>77483.878313681271</v>
      </c>
      <c r="L108" s="312">
        <v>78855.365156950793</v>
      </c>
      <c r="M108" s="312">
        <v>77769.754503506541</v>
      </c>
      <c r="N108" s="312">
        <v>77267.957613031933</v>
      </c>
      <c r="O108" s="312">
        <v>76762.454145097203</v>
      </c>
      <c r="P108" s="312">
        <v>76253.308785981964</v>
      </c>
      <c r="Q108" s="312">
        <v>75740.590888750128</v>
      </c>
      <c r="R108" s="312">
        <v>75224.374655509338</v>
      </c>
      <c r="S108" s="312">
        <v>74581.493461646285</v>
      </c>
      <c r="T108" s="312">
        <v>73813.041131189661</v>
      </c>
      <c r="U108" s="312">
        <v>73033.979609638191</v>
      </c>
      <c r="V108" s="312">
        <v>72244.183509130729</v>
      </c>
      <c r="W108" s="312">
        <v>71443.526669932296</v>
      </c>
      <c r="X108" s="312">
        <v>70631.882183619178</v>
      </c>
      <c r="Y108" s="312">
        <v>69809.122417677892</v>
      </c>
      <c r="Z108" s="312">
        <v>68975.119041571495</v>
      </c>
      <c r="AA108" s="312">
        <v>68129.743054328632</v>
      </c>
      <c r="AB108" s="312">
        <v>67272.864813712469</v>
      </c>
      <c r="AC108" s="312">
        <v>66404.354067028617</v>
      </c>
      <c r="AD108" s="312">
        <v>65524.079983632859</v>
      </c>
      <c r="AE108" s="312">
        <v>64631.91118920203</v>
      </c>
      <c r="AF108" s="312">
        <v>63727.715801832805</v>
      </c>
      <c r="AG108" s="312">
        <v>62811.361470035888</v>
      </c>
      <c r="AH108" s="312">
        <v>61882.715412694961</v>
      </c>
      <c r="AI108" s="312">
        <v>60894.256000725298</v>
      </c>
      <c r="AJ108" s="312">
        <v>59796.554988716671</v>
      </c>
      <c r="AK108" s="312">
        <v>58681.839611021933</v>
      </c>
      <c r="AL108" s="312">
        <v>57549.846144972907</v>
      </c>
    </row>
    <row r="109" spans="1:40" ht="3.75" customHeight="1">
      <c r="E109" s="52"/>
      <c r="F109" s="64"/>
      <c r="G109" s="65"/>
      <c r="H109" s="65"/>
      <c r="I109" s="65"/>
      <c r="J109" s="65"/>
      <c r="K109" s="65"/>
      <c r="L109" s="65"/>
      <c r="M109" s="65"/>
      <c r="N109" s="65"/>
      <c r="O109" s="65"/>
      <c r="P109" s="65"/>
      <c r="Q109" s="65"/>
      <c r="R109" s="65"/>
      <c r="S109" s="65"/>
      <c r="T109" s="65"/>
      <c r="U109" s="65"/>
      <c r="V109" s="65"/>
      <c r="W109" s="65"/>
      <c r="X109" s="65"/>
      <c r="Y109" s="65"/>
      <c r="Z109" s="65"/>
      <c r="AA109" s="65"/>
      <c r="AB109" s="65"/>
      <c r="AC109" s="65"/>
      <c r="AD109" s="65"/>
      <c r="AE109" s="65"/>
      <c r="AF109" s="65"/>
      <c r="AG109" s="65"/>
      <c r="AH109" s="65"/>
      <c r="AI109" s="65"/>
      <c r="AJ109" s="65"/>
      <c r="AK109" s="65"/>
      <c r="AL109" s="65"/>
    </row>
    <row r="110" spans="1:40">
      <c r="C110" s="51"/>
      <c r="E110" s="53" t="s">
        <v>397</v>
      </c>
      <c r="F110" s="331">
        <v>0</v>
      </c>
      <c r="G110" s="333">
        <v>0</v>
      </c>
      <c r="H110" s="333">
        <v>0</v>
      </c>
      <c r="I110" s="333">
        <v>0</v>
      </c>
      <c r="J110" s="333">
        <v>0</v>
      </c>
      <c r="K110" s="333">
        <v>0</v>
      </c>
      <c r="L110" s="333">
        <v>0</v>
      </c>
      <c r="M110" s="333">
        <v>0</v>
      </c>
      <c r="N110" s="333">
        <v>0</v>
      </c>
      <c r="O110" s="333">
        <v>0</v>
      </c>
      <c r="P110" s="333">
        <v>0</v>
      </c>
      <c r="Q110" s="333">
        <v>0</v>
      </c>
      <c r="R110" s="333">
        <v>0</v>
      </c>
      <c r="S110" s="333">
        <v>0</v>
      </c>
      <c r="T110" s="333">
        <v>0</v>
      </c>
      <c r="U110" s="333">
        <v>0</v>
      </c>
      <c r="V110" s="333">
        <v>0</v>
      </c>
      <c r="W110" s="333">
        <v>0</v>
      </c>
      <c r="X110" s="333">
        <v>0</v>
      </c>
      <c r="Y110" s="333">
        <v>0</v>
      </c>
      <c r="Z110" s="333">
        <v>0</v>
      </c>
      <c r="AA110" s="333">
        <v>0</v>
      </c>
      <c r="AB110" s="333">
        <v>0</v>
      </c>
      <c r="AC110" s="333">
        <v>0</v>
      </c>
      <c r="AD110" s="333">
        <v>0</v>
      </c>
      <c r="AE110" s="333">
        <v>0</v>
      </c>
      <c r="AF110" s="333">
        <v>0</v>
      </c>
      <c r="AG110" s="333">
        <v>0</v>
      </c>
      <c r="AH110" s="333">
        <v>0</v>
      </c>
      <c r="AI110" s="333">
        <v>0</v>
      </c>
      <c r="AJ110" s="333">
        <v>0</v>
      </c>
      <c r="AK110" s="333">
        <v>0</v>
      </c>
      <c r="AL110" s="333">
        <v>0</v>
      </c>
    </row>
    <row r="111" spans="1:40">
      <c r="C111" s="51"/>
      <c r="E111" s="53" t="s">
        <v>396</v>
      </c>
      <c r="F111" s="331">
        <v>0</v>
      </c>
      <c r="G111" s="333">
        <v>0</v>
      </c>
      <c r="H111" s="333">
        <v>0</v>
      </c>
      <c r="I111" s="333">
        <v>10.172697477293783</v>
      </c>
      <c r="J111" s="333">
        <v>9.2685421085464395</v>
      </c>
      <c r="K111" s="333">
        <v>9.3658723315835104</v>
      </c>
      <c r="L111" s="333">
        <v>9.4647111730776583</v>
      </c>
      <c r="M111" s="333">
        <v>9.5650820166149657</v>
      </c>
      <c r="N111" s="333">
        <v>9.6670086082270998</v>
      </c>
      <c r="O111" s="333">
        <v>9.770515062009224</v>
      </c>
      <c r="P111" s="333">
        <v>9.8756258658249685</v>
      </c>
      <c r="Q111" s="333">
        <v>9.9823658870998599</v>
      </c>
      <c r="R111" s="333">
        <v>10.090760378704509</v>
      </c>
      <c r="S111" s="333">
        <v>10.200834984929033</v>
      </c>
      <c r="T111" s="333">
        <v>10.312615747550037</v>
      </c>
      <c r="U111" s="333">
        <v>10.426129111991665</v>
      </c>
      <c r="V111" s="333">
        <v>10.54140193358214</v>
      </c>
      <c r="W111" s="333">
        <v>10.658461483907264</v>
      </c>
      <c r="X111" s="333">
        <v>10.77733545726243</v>
      </c>
      <c r="Y111" s="333">
        <v>10.898051977204601</v>
      </c>
      <c r="Z111" s="333">
        <v>11.020639603205874</v>
      </c>
      <c r="AA111" s="333">
        <v>11.145127337410168</v>
      </c>
      <c r="AB111" s="333">
        <v>11.271544631494629</v>
      </c>
      <c r="AC111" s="333">
        <v>11.399921393637399</v>
      </c>
      <c r="AD111" s="333">
        <v>11.530287995593381</v>
      </c>
      <c r="AE111" s="333">
        <v>11.662675279879682</v>
      </c>
      <c r="AF111" s="333">
        <v>11.79711456707242</v>
      </c>
      <c r="AG111" s="333">
        <v>11.933637663216645</v>
      </c>
      <c r="AH111" s="333">
        <v>12.072276867351107</v>
      </c>
      <c r="AI111" s="333">
        <v>12.213064979149653</v>
      </c>
      <c r="AJ111" s="333">
        <v>12.356035306681076</v>
      </c>
      <c r="AK111" s="333">
        <v>12.501221674289235</v>
      </c>
      <c r="AL111" s="333">
        <v>12.64865843059532</v>
      </c>
    </row>
    <row r="112" spans="1:40">
      <c r="C112" s="51"/>
      <c r="E112" s="53" t="s">
        <v>67</v>
      </c>
      <c r="F112" s="331">
        <v>0</v>
      </c>
      <c r="G112" s="333">
        <v>0</v>
      </c>
      <c r="H112" s="333">
        <v>0</v>
      </c>
      <c r="I112" s="333">
        <v>0.8879999999999999</v>
      </c>
      <c r="J112" s="333">
        <v>0.93599999999999994</v>
      </c>
      <c r="K112" s="333">
        <v>0.93599999999999994</v>
      </c>
      <c r="L112" s="333">
        <v>0.93599999999999994</v>
      </c>
      <c r="M112" s="333">
        <v>0.93599999999999994</v>
      </c>
      <c r="N112" s="333">
        <v>0.93599999999999994</v>
      </c>
      <c r="O112" s="333">
        <v>0.93599999999999994</v>
      </c>
      <c r="P112" s="333">
        <v>0.93599999999999994</v>
      </c>
      <c r="Q112" s="333">
        <v>0.93599999999999994</v>
      </c>
      <c r="R112" s="333">
        <v>0.93599999999999994</v>
      </c>
      <c r="S112" s="333">
        <v>0.93599999999999994</v>
      </c>
      <c r="T112" s="333">
        <v>0.93599999999999994</v>
      </c>
      <c r="U112" s="333">
        <v>0.93599999999999994</v>
      </c>
      <c r="V112" s="333">
        <v>0.93599999999999994</v>
      </c>
      <c r="W112" s="333">
        <v>0.93599999999999994</v>
      </c>
      <c r="X112" s="333">
        <v>0.93599999999999994</v>
      </c>
      <c r="Y112" s="333">
        <v>0.93599999999999994</v>
      </c>
      <c r="Z112" s="333">
        <v>0.93599999999999994</v>
      </c>
      <c r="AA112" s="333">
        <v>0.93599999999999994</v>
      </c>
      <c r="AB112" s="333">
        <v>0.93599999999999994</v>
      </c>
      <c r="AC112" s="333">
        <v>0.93599999999999994</v>
      </c>
      <c r="AD112" s="333">
        <v>0.93599999999999994</v>
      </c>
      <c r="AE112" s="333">
        <v>0.93599999999999994</v>
      </c>
      <c r="AF112" s="333">
        <v>0.93599999999999994</v>
      </c>
      <c r="AG112" s="333">
        <v>0.93599999999999994</v>
      </c>
      <c r="AH112" s="333">
        <v>0.93599999999999994</v>
      </c>
      <c r="AI112" s="333">
        <v>0.93599999999999994</v>
      </c>
      <c r="AJ112" s="333">
        <v>0.93599999999999994</v>
      </c>
      <c r="AK112" s="333">
        <v>0.93599999999999994</v>
      </c>
      <c r="AL112" s="333">
        <v>0.93599999999999994</v>
      </c>
    </row>
    <row r="113" spans="3:38">
      <c r="C113" s="51"/>
      <c r="E113" s="53" t="s">
        <v>256</v>
      </c>
      <c r="F113" s="331">
        <v>16.068367346938771</v>
      </c>
      <c r="G113" s="333">
        <v>16.068367346938771</v>
      </c>
      <c r="H113" s="333">
        <v>16.068367346938771</v>
      </c>
      <c r="I113" s="333">
        <v>16.068367346938771</v>
      </c>
      <c r="J113" s="333">
        <v>16.068367346938771</v>
      </c>
      <c r="K113" s="333">
        <v>16.068367346938771</v>
      </c>
      <c r="L113" s="333">
        <v>16.068367346938771</v>
      </c>
      <c r="M113" s="333">
        <v>16.068367346938771</v>
      </c>
      <c r="N113" s="333">
        <v>16.068367346938771</v>
      </c>
      <c r="O113" s="333">
        <v>16.068367346938771</v>
      </c>
      <c r="P113" s="333">
        <v>16.068367346938771</v>
      </c>
      <c r="Q113" s="333">
        <v>16.068367346938771</v>
      </c>
      <c r="R113" s="333">
        <v>16.068367346938771</v>
      </c>
      <c r="S113" s="333">
        <v>16.068367346938771</v>
      </c>
      <c r="T113" s="333">
        <v>16.068367346938771</v>
      </c>
      <c r="U113" s="333">
        <v>16.068367346938771</v>
      </c>
      <c r="V113" s="333">
        <v>16.068367346938771</v>
      </c>
      <c r="W113" s="333">
        <v>16.068367346938771</v>
      </c>
      <c r="X113" s="333">
        <v>16.068367346938771</v>
      </c>
      <c r="Y113" s="333">
        <v>16.068367346938771</v>
      </c>
      <c r="Z113" s="333">
        <v>16.068367346938771</v>
      </c>
      <c r="AA113" s="333">
        <v>16.068367346938771</v>
      </c>
      <c r="AB113" s="333">
        <v>16.068367346938771</v>
      </c>
      <c r="AC113" s="333">
        <v>16.068367346938771</v>
      </c>
      <c r="AD113" s="333">
        <v>16.068367346938771</v>
      </c>
      <c r="AE113" s="333">
        <v>16.068367346938771</v>
      </c>
      <c r="AF113" s="333">
        <v>16.068367346938771</v>
      </c>
      <c r="AG113" s="333">
        <v>16.068367346938771</v>
      </c>
      <c r="AH113" s="333">
        <v>16.068367346938771</v>
      </c>
      <c r="AI113" s="333">
        <v>16.068367346938771</v>
      </c>
      <c r="AJ113" s="333">
        <v>16.068367346938771</v>
      </c>
      <c r="AK113" s="333">
        <v>16.068367346938771</v>
      </c>
      <c r="AL113" s="333">
        <v>16.068367346938771</v>
      </c>
    </row>
    <row r="114" spans="3:38">
      <c r="C114" s="51"/>
      <c r="E114" s="53" t="s">
        <v>257</v>
      </c>
      <c r="F114" s="331">
        <v>8.5351851851851865</v>
      </c>
      <c r="G114" s="333">
        <v>8.5351851851851865</v>
      </c>
      <c r="H114" s="333">
        <v>8.5351851851851865</v>
      </c>
      <c r="I114" s="333">
        <v>8.5351851851851865</v>
      </c>
      <c r="J114" s="333">
        <v>8.5351851851851865</v>
      </c>
      <c r="K114" s="333">
        <v>8.5351851851851865</v>
      </c>
      <c r="L114" s="333">
        <v>8.5351851851851865</v>
      </c>
      <c r="M114" s="333">
        <v>8.5351851851851865</v>
      </c>
      <c r="N114" s="333">
        <v>8.5351851851851865</v>
      </c>
      <c r="O114" s="333">
        <v>8.5351851851851865</v>
      </c>
      <c r="P114" s="333">
        <v>8.5351851851851865</v>
      </c>
      <c r="Q114" s="333">
        <v>8.5351851851851865</v>
      </c>
      <c r="R114" s="333">
        <v>8.5351851851851865</v>
      </c>
      <c r="S114" s="333">
        <v>8.5351851851851865</v>
      </c>
      <c r="T114" s="333">
        <v>8.5351851851851865</v>
      </c>
      <c r="U114" s="333">
        <v>8.5351851851851865</v>
      </c>
      <c r="V114" s="333">
        <v>8.5351851851851865</v>
      </c>
      <c r="W114" s="333">
        <v>8.5351851851851865</v>
      </c>
      <c r="X114" s="333">
        <v>8.5351851851851865</v>
      </c>
      <c r="Y114" s="333">
        <v>8.5351851851851865</v>
      </c>
      <c r="Z114" s="333">
        <v>8.5351851851851865</v>
      </c>
      <c r="AA114" s="333">
        <v>8.5351851851851865</v>
      </c>
      <c r="AB114" s="333">
        <v>8.5351851851851865</v>
      </c>
      <c r="AC114" s="333">
        <v>8.5351851851851865</v>
      </c>
      <c r="AD114" s="333">
        <v>8.5351851851851865</v>
      </c>
      <c r="AE114" s="333">
        <v>8.5351851851851865</v>
      </c>
      <c r="AF114" s="333">
        <v>8.5351851851851865</v>
      </c>
      <c r="AG114" s="333">
        <v>8.5351851851851865</v>
      </c>
      <c r="AH114" s="333">
        <v>8.5351851851851865</v>
      </c>
      <c r="AI114" s="333">
        <v>8.5351851851851865</v>
      </c>
      <c r="AJ114" s="333">
        <v>8.5351851851851865</v>
      </c>
      <c r="AK114" s="333">
        <v>8.5351851851851865</v>
      </c>
      <c r="AL114" s="333">
        <v>8.5351851851851865</v>
      </c>
    </row>
    <row r="115" spans="3:38">
      <c r="C115" s="51"/>
      <c r="E115" s="53" t="s">
        <v>258</v>
      </c>
      <c r="F115" s="331">
        <v>2.7600000000000007</v>
      </c>
      <c r="G115" s="333">
        <v>2.7600000000000007</v>
      </c>
      <c r="H115" s="333">
        <v>2.7600000000000007</v>
      </c>
      <c r="I115" s="333">
        <v>2.7600000000000007</v>
      </c>
      <c r="J115" s="333">
        <v>2.7600000000000007</v>
      </c>
      <c r="K115" s="333">
        <v>2.7600000000000007</v>
      </c>
      <c r="L115" s="333">
        <v>2.7600000000000007</v>
      </c>
      <c r="M115" s="333">
        <v>2.7600000000000007</v>
      </c>
      <c r="N115" s="333">
        <v>2.7600000000000007</v>
      </c>
      <c r="O115" s="333">
        <v>2.7600000000000007</v>
      </c>
      <c r="P115" s="333">
        <v>2.7600000000000007</v>
      </c>
      <c r="Q115" s="333">
        <v>2.7600000000000007</v>
      </c>
      <c r="R115" s="333">
        <v>2.7600000000000007</v>
      </c>
      <c r="S115" s="333">
        <v>2.7600000000000007</v>
      </c>
      <c r="T115" s="333">
        <v>2.7600000000000007</v>
      </c>
      <c r="U115" s="333">
        <v>2.7600000000000007</v>
      </c>
      <c r="V115" s="333">
        <v>2.7600000000000007</v>
      </c>
      <c r="W115" s="333">
        <v>2.7600000000000007</v>
      </c>
      <c r="X115" s="333">
        <v>2.7600000000000007</v>
      </c>
      <c r="Y115" s="333">
        <v>2.7600000000000007</v>
      </c>
      <c r="Z115" s="333">
        <v>2.7600000000000007</v>
      </c>
      <c r="AA115" s="333">
        <v>2.7600000000000007</v>
      </c>
      <c r="AB115" s="333">
        <v>2.7600000000000007</v>
      </c>
      <c r="AC115" s="333">
        <v>2.7600000000000007</v>
      </c>
      <c r="AD115" s="333">
        <v>2.7600000000000007</v>
      </c>
      <c r="AE115" s="333">
        <v>2.7600000000000007</v>
      </c>
      <c r="AF115" s="333">
        <v>2.7600000000000007</v>
      </c>
      <c r="AG115" s="333">
        <v>2.7600000000000007</v>
      </c>
      <c r="AH115" s="333">
        <v>2.7600000000000007</v>
      </c>
      <c r="AI115" s="333">
        <v>2.7600000000000007</v>
      </c>
      <c r="AJ115" s="333">
        <v>2.7600000000000007</v>
      </c>
      <c r="AK115" s="333">
        <v>2.7600000000000007</v>
      </c>
      <c r="AL115" s="333">
        <v>2.7600000000000007</v>
      </c>
    </row>
    <row r="116" spans="3:38">
      <c r="C116" s="51"/>
      <c r="E116" s="53" t="s">
        <v>259</v>
      </c>
      <c r="F116" s="331">
        <v>0.13999999999999996</v>
      </c>
      <c r="G116" s="333">
        <v>0.13999999999999996</v>
      </c>
      <c r="H116" s="333">
        <v>0.13999999999999996</v>
      </c>
      <c r="I116" s="333">
        <v>0.13999999999999996</v>
      </c>
      <c r="J116" s="333">
        <v>0.13999999999999996</v>
      </c>
      <c r="K116" s="333">
        <v>0.13999999999999996</v>
      </c>
      <c r="L116" s="333">
        <v>0.13999999999999996</v>
      </c>
      <c r="M116" s="333">
        <v>0.13999999999999996</v>
      </c>
      <c r="N116" s="333">
        <v>0.13999999999999996</v>
      </c>
      <c r="O116" s="333">
        <v>0.13999999999999996</v>
      </c>
      <c r="P116" s="333">
        <v>0.13999999999999996</v>
      </c>
      <c r="Q116" s="333">
        <v>0.13999999999999996</v>
      </c>
      <c r="R116" s="333">
        <v>0.13999999999999996</v>
      </c>
      <c r="S116" s="333">
        <v>0.13999999999999996</v>
      </c>
      <c r="T116" s="333">
        <v>0.13999999999999996</v>
      </c>
      <c r="U116" s="333">
        <v>0.13999999999999996</v>
      </c>
      <c r="V116" s="333">
        <v>0.13999999999999996</v>
      </c>
      <c r="W116" s="333">
        <v>0.13999999999999996</v>
      </c>
      <c r="X116" s="333">
        <v>0.13999999999999996</v>
      </c>
      <c r="Y116" s="333">
        <v>0.13999999999999996</v>
      </c>
      <c r="Z116" s="333">
        <v>0.13999999999999996</v>
      </c>
      <c r="AA116" s="333">
        <v>0.13999999999999996</v>
      </c>
      <c r="AB116" s="333">
        <v>0.13999999999999996</v>
      </c>
      <c r="AC116" s="333">
        <v>0.13999999999999996</v>
      </c>
      <c r="AD116" s="333">
        <v>0.13999999999999996</v>
      </c>
      <c r="AE116" s="333">
        <v>0.13999999999999996</v>
      </c>
      <c r="AF116" s="333">
        <v>0.13999999999999996</v>
      </c>
      <c r="AG116" s="333">
        <v>0.13999999999999996</v>
      </c>
      <c r="AH116" s="333">
        <v>0.13999999999999996</v>
      </c>
      <c r="AI116" s="333">
        <v>0.13999999999999996</v>
      </c>
      <c r="AJ116" s="333">
        <v>0.13999999999999996</v>
      </c>
      <c r="AK116" s="333">
        <v>0.13999999999999996</v>
      </c>
      <c r="AL116" s="333">
        <v>0.13999999999999996</v>
      </c>
    </row>
    <row r="117" spans="3:38">
      <c r="C117" s="51"/>
      <c r="E117" s="52" t="s">
        <v>220</v>
      </c>
      <c r="F117" s="339">
        <v>0.9675464410520509</v>
      </c>
      <c r="G117" s="340">
        <v>0.91798512451864878</v>
      </c>
      <c r="H117" s="340">
        <v>0.9033674745570528</v>
      </c>
      <c r="I117" s="340">
        <v>1.6121305287079433</v>
      </c>
      <c r="J117" s="340">
        <v>2.2145310890196153</v>
      </c>
      <c r="K117" s="340">
        <v>2.2199525391783181</v>
      </c>
      <c r="L117" s="340">
        <v>2.195651423067889</v>
      </c>
      <c r="M117" s="340">
        <v>2.2076033872405119</v>
      </c>
      <c r="N117" s="340">
        <v>2.225609835800336</v>
      </c>
      <c r="O117" s="340">
        <v>2.243922835803132</v>
      </c>
      <c r="P117" s="340">
        <v>2.2625477423202649</v>
      </c>
      <c r="Q117" s="340">
        <v>2.2814900010272812</v>
      </c>
      <c r="R117" s="340">
        <v>2.3007551493389125</v>
      </c>
      <c r="S117" s="340">
        <v>2.3192245442441823</v>
      </c>
      <c r="T117" s="340">
        <v>2.3369183698704914</v>
      </c>
      <c r="U117" s="340">
        <v>2.3548924393839501</v>
      </c>
      <c r="V117" s="340">
        <v>2.3731511786767054</v>
      </c>
      <c r="W117" s="340">
        <v>2.3916990802037668</v>
      </c>
      <c r="X117" s="340">
        <v>2.4105407037475457</v>
      </c>
      <c r="Y117" s="340">
        <v>2.4296806771769646</v>
      </c>
      <c r="Z117" s="340">
        <v>2.4491236972001236</v>
      </c>
      <c r="AA117" s="340">
        <v>2.4688745301094697</v>
      </c>
      <c r="AB117" s="340">
        <v>2.4889380125183274</v>
      </c>
      <c r="AC117" s="340">
        <v>2.5093190520876156</v>
      </c>
      <c r="AD117" s="340">
        <v>2.5300226282414759</v>
      </c>
      <c r="AE117" s="340">
        <v>2.5510537928704879</v>
      </c>
      <c r="AF117" s="340">
        <v>2.5724176710210696</v>
      </c>
      <c r="AG117" s="340">
        <v>2.5941194615695666</v>
      </c>
      <c r="AH117" s="340">
        <v>2.6161644378794819</v>
      </c>
      <c r="AI117" s="340">
        <v>2.6382095345840675</v>
      </c>
      <c r="AJ117" s="340">
        <v>2.6599031769682977</v>
      </c>
      <c r="AK117" s="340">
        <v>2.6819330708094835</v>
      </c>
      <c r="AL117" s="340">
        <v>2.7043044280052078</v>
      </c>
    </row>
    <row r="118" spans="3:38" ht="3.75" customHeight="1">
      <c r="E118" s="52"/>
      <c r="F118" s="64"/>
      <c r="G118" s="65"/>
      <c r="H118" s="65"/>
      <c r="I118" s="65"/>
      <c r="J118" s="65"/>
      <c r="K118" s="65"/>
      <c r="L118" s="65"/>
      <c r="M118" s="65"/>
      <c r="N118" s="65"/>
      <c r="O118" s="65"/>
      <c r="P118" s="65"/>
      <c r="Q118" s="65"/>
      <c r="R118" s="65"/>
      <c r="S118" s="65"/>
      <c r="T118" s="65"/>
      <c r="U118" s="65"/>
      <c r="V118" s="65"/>
      <c r="W118" s="65"/>
      <c r="X118" s="65"/>
      <c r="Y118" s="65"/>
      <c r="Z118" s="65"/>
      <c r="AA118" s="65"/>
      <c r="AB118" s="65"/>
      <c r="AC118" s="65"/>
      <c r="AD118" s="65"/>
      <c r="AE118" s="65"/>
      <c r="AF118" s="65"/>
      <c r="AG118" s="65"/>
      <c r="AH118" s="65"/>
      <c r="AI118" s="65"/>
      <c r="AJ118" s="65"/>
      <c r="AK118" s="65"/>
      <c r="AL118" s="65"/>
    </row>
    <row r="119" spans="3:38">
      <c r="C119" s="51"/>
      <c r="E119" s="53" t="s">
        <v>397</v>
      </c>
      <c r="F119" s="313">
        <v>0</v>
      </c>
      <c r="G119" s="314">
        <v>0</v>
      </c>
      <c r="H119" s="314">
        <v>0</v>
      </c>
      <c r="I119" s="314">
        <v>0</v>
      </c>
      <c r="J119" s="314">
        <v>0</v>
      </c>
      <c r="K119" s="314">
        <v>0</v>
      </c>
      <c r="L119" s="314">
        <v>0</v>
      </c>
      <c r="M119" s="314">
        <v>0</v>
      </c>
      <c r="N119" s="314">
        <v>0</v>
      </c>
      <c r="O119" s="314">
        <v>0</v>
      </c>
      <c r="P119" s="314">
        <v>0</v>
      </c>
      <c r="Q119" s="314">
        <v>0</v>
      </c>
      <c r="R119" s="314">
        <v>0</v>
      </c>
      <c r="S119" s="314">
        <v>0</v>
      </c>
      <c r="T119" s="314">
        <v>0</v>
      </c>
      <c r="U119" s="314">
        <v>0</v>
      </c>
      <c r="V119" s="314">
        <v>0</v>
      </c>
      <c r="W119" s="314">
        <v>0</v>
      </c>
      <c r="X119" s="314">
        <v>0</v>
      </c>
      <c r="Y119" s="314">
        <v>0</v>
      </c>
      <c r="Z119" s="314">
        <v>0</v>
      </c>
      <c r="AA119" s="314">
        <v>0</v>
      </c>
      <c r="AB119" s="314">
        <v>0</v>
      </c>
      <c r="AC119" s="314">
        <v>0</v>
      </c>
      <c r="AD119" s="314">
        <v>0</v>
      </c>
      <c r="AE119" s="314">
        <v>0</v>
      </c>
      <c r="AF119" s="314">
        <v>0</v>
      </c>
      <c r="AG119" s="314">
        <v>0</v>
      </c>
      <c r="AH119" s="314">
        <v>0</v>
      </c>
      <c r="AI119" s="314">
        <v>0</v>
      </c>
      <c r="AJ119" s="314">
        <v>0</v>
      </c>
      <c r="AK119" s="314">
        <v>0</v>
      </c>
      <c r="AL119" s="314">
        <v>0</v>
      </c>
    </row>
    <row r="120" spans="3:38">
      <c r="C120" s="51"/>
      <c r="E120" s="53" t="s">
        <v>396</v>
      </c>
      <c r="F120" s="313">
        <v>0</v>
      </c>
      <c r="G120" s="314">
        <v>0</v>
      </c>
      <c r="H120" s="314">
        <v>0</v>
      </c>
      <c r="I120" s="314">
        <v>25464.10279307609</v>
      </c>
      <c r="J120" s="314">
        <v>69943.703623987763</v>
      </c>
      <c r="K120" s="314">
        <v>71909.519368367837</v>
      </c>
      <c r="L120" s="314">
        <v>72668.386597723802</v>
      </c>
      <c r="M120" s="314">
        <v>73439.01626913478</v>
      </c>
      <c r="N120" s="314">
        <v>74221.590700452623</v>
      </c>
      <c r="O120" s="314">
        <v>75016.2950354559</v>
      </c>
      <c r="P120" s="314">
        <v>75823.317287651735</v>
      </c>
      <c r="Q120" s="314">
        <v>76642.848384756595</v>
      </c>
      <c r="R120" s="314">
        <v>77475.082213866583</v>
      </c>
      <c r="S120" s="314">
        <v>78320.215667327764</v>
      </c>
      <c r="T120" s="314">
        <v>79178.448689317607</v>
      </c>
      <c r="U120" s="314">
        <v>80049.984323148296</v>
      </c>
      <c r="V120" s="314">
        <v>80935.028759303357</v>
      </c>
      <c r="W120" s="314">
        <v>81833.791384218814</v>
      </c>
      <c r="X120" s="314">
        <v>82746.48482982046</v>
      </c>
      <c r="Y120" s="314">
        <v>83673.325023828933</v>
      </c>
      <c r="Z120" s="314">
        <v>84614.531240844546</v>
      </c>
      <c r="AA120" s="314">
        <v>85570.326154223891</v>
      </c>
      <c r="AB120" s="314">
        <v>86540.935888760621</v>
      </c>
      <c r="AC120" s="314">
        <v>87526.590074182663</v>
      </c>
      <c r="AD120" s="314">
        <v>88527.521899478757</v>
      </c>
      <c r="AE120" s="314">
        <v>89543.968168066946</v>
      </c>
      <c r="AF120" s="314">
        <v>90576.16935381823</v>
      </c>
      <c r="AG120" s="314">
        <v>91624.369657948686</v>
      </c>
      <c r="AH120" s="314">
        <v>92688.817066793141</v>
      </c>
      <c r="AI120" s="314">
        <v>93769.763410474698</v>
      </c>
      <c r="AJ120" s="314">
        <v>94867.464422483317</v>
      </c>
      <c r="AK120" s="314">
        <v>95982.17980017807</v>
      </c>
      <c r="AL120" s="314">
        <v>97114.173266227095</v>
      </c>
    </row>
    <row r="121" spans="3:38">
      <c r="C121" s="51"/>
      <c r="E121" s="53" t="s">
        <v>67</v>
      </c>
      <c r="F121" s="313">
        <v>0</v>
      </c>
      <c r="G121" s="314">
        <v>0</v>
      </c>
      <c r="H121" s="314">
        <v>0</v>
      </c>
      <c r="I121" s="314">
        <v>3945.5138533347945</v>
      </c>
      <c r="J121" s="314">
        <v>11999.39136231452</v>
      </c>
      <c r="K121" s="314">
        <v>12216.953548799998</v>
      </c>
      <c r="L121" s="314">
        <v>12216.953548799998</v>
      </c>
      <c r="M121" s="314">
        <v>12216.953548799998</v>
      </c>
      <c r="N121" s="314">
        <v>12216.953548799998</v>
      </c>
      <c r="O121" s="314">
        <v>12216.953548799998</v>
      </c>
      <c r="P121" s="314">
        <v>12216.953548799998</v>
      </c>
      <c r="Q121" s="314">
        <v>12216.953548799998</v>
      </c>
      <c r="R121" s="314">
        <v>12216.953548799998</v>
      </c>
      <c r="S121" s="314">
        <v>12216.953548799998</v>
      </c>
      <c r="T121" s="314">
        <v>12216.953548799998</v>
      </c>
      <c r="U121" s="314">
        <v>12216.953548799998</v>
      </c>
      <c r="V121" s="314">
        <v>12216.953548799998</v>
      </c>
      <c r="W121" s="314">
        <v>12216.953548799998</v>
      </c>
      <c r="X121" s="314">
        <v>12216.953548799998</v>
      </c>
      <c r="Y121" s="314">
        <v>12216.953548799998</v>
      </c>
      <c r="Z121" s="314">
        <v>12216.953548799998</v>
      </c>
      <c r="AA121" s="314">
        <v>12216.953548799998</v>
      </c>
      <c r="AB121" s="314">
        <v>12216.953548799998</v>
      </c>
      <c r="AC121" s="314">
        <v>12216.953548799998</v>
      </c>
      <c r="AD121" s="314">
        <v>12216.953548799998</v>
      </c>
      <c r="AE121" s="314">
        <v>12216.953548799998</v>
      </c>
      <c r="AF121" s="314">
        <v>12216.953548799998</v>
      </c>
      <c r="AG121" s="314">
        <v>12216.953548799998</v>
      </c>
      <c r="AH121" s="314">
        <v>12216.953548799998</v>
      </c>
      <c r="AI121" s="314">
        <v>12216.953548799998</v>
      </c>
      <c r="AJ121" s="314">
        <v>12216.953548799998</v>
      </c>
      <c r="AK121" s="314">
        <v>12216.953548799998</v>
      </c>
      <c r="AL121" s="314">
        <v>12216.953548799998</v>
      </c>
    </row>
    <row r="122" spans="3:38">
      <c r="C122" s="51"/>
      <c r="E122" s="53" t="s">
        <v>256</v>
      </c>
      <c r="F122" s="313">
        <v>3149.3999999999996</v>
      </c>
      <c r="G122" s="314">
        <v>3212.387999999999</v>
      </c>
      <c r="H122" s="314">
        <v>3276.6357599999992</v>
      </c>
      <c r="I122" s="314">
        <v>3342.1684752000001</v>
      </c>
      <c r="J122" s="314">
        <v>3409.0118447039995</v>
      </c>
      <c r="K122" s="314">
        <v>3477.1920815980793</v>
      </c>
      <c r="L122" s="314">
        <v>3581.507844046022</v>
      </c>
      <c r="M122" s="314">
        <v>3688.953079367403</v>
      </c>
      <c r="N122" s="314">
        <v>3799.621671748424</v>
      </c>
      <c r="O122" s="314">
        <v>3913.6103219008774</v>
      </c>
      <c r="P122" s="314">
        <v>4031.0186315579049</v>
      </c>
      <c r="Q122" s="314">
        <v>4151.9491905046407</v>
      </c>
      <c r="R122" s="314">
        <v>4276.5076662197807</v>
      </c>
      <c r="S122" s="314">
        <v>4338.4591836734689</v>
      </c>
      <c r="T122" s="314">
        <v>4338.4591836734689</v>
      </c>
      <c r="U122" s="314">
        <v>4338.4591836734689</v>
      </c>
      <c r="V122" s="314">
        <v>4338.4591836734689</v>
      </c>
      <c r="W122" s="314">
        <v>4338.4591836734689</v>
      </c>
      <c r="X122" s="314">
        <v>4338.4591836734689</v>
      </c>
      <c r="Y122" s="314">
        <v>4338.4591836734689</v>
      </c>
      <c r="Z122" s="314">
        <v>4338.4591836734689</v>
      </c>
      <c r="AA122" s="314">
        <v>4338.4591836734689</v>
      </c>
      <c r="AB122" s="314">
        <v>4338.4591836734689</v>
      </c>
      <c r="AC122" s="314">
        <v>4338.4591836734689</v>
      </c>
      <c r="AD122" s="314">
        <v>4338.4591836734689</v>
      </c>
      <c r="AE122" s="314">
        <v>4338.4591836734689</v>
      </c>
      <c r="AF122" s="314">
        <v>4338.4591836734689</v>
      </c>
      <c r="AG122" s="314">
        <v>4338.4591836734689</v>
      </c>
      <c r="AH122" s="314">
        <v>4338.4591836734689</v>
      </c>
      <c r="AI122" s="314">
        <v>4338.4591836734689</v>
      </c>
      <c r="AJ122" s="314">
        <v>4338.4591836734689</v>
      </c>
      <c r="AK122" s="314">
        <v>4338.4591836734689</v>
      </c>
      <c r="AL122" s="314">
        <v>4338.4591836734689</v>
      </c>
    </row>
    <row r="123" spans="3:38">
      <c r="C123" s="51"/>
      <c r="E123" s="53" t="s">
        <v>257</v>
      </c>
      <c r="F123" s="313">
        <v>1152.25</v>
      </c>
      <c r="G123" s="314">
        <v>1175.2950000000001</v>
      </c>
      <c r="H123" s="314">
        <v>1198.8008999999997</v>
      </c>
      <c r="I123" s="314">
        <v>1222.776918</v>
      </c>
      <c r="J123" s="314">
        <v>1247.23245636</v>
      </c>
      <c r="K123" s="314">
        <v>1272.1771054872002</v>
      </c>
      <c r="L123" s="314">
        <v>1310.3424186518159</v>
      </c>
      <c r="M123" s="314">
        <v>1349.6526912113709</v>
      </c>
      <c r="N123" s="314">
        <v>1390.1422719477118</v>
      </c>
      <c r="O123" s="314">
        <v>1431.846540106143</v>
      </c>
      <c r="P123" s="314">
        <v>1474.8019363093276</v>
      </c>
      <c r="Q123" s="314">
        <v>1519.0459943986075</v>
      </c>
      <c r="R123" s="314">
        <v>1564.6173742305659</v>
      </c>
      <c r="S123" s="314">
        <v>1611.5558954574826</v>
      </c>
      <c r="T123" s="314">
        <v>1659.9025723212076</v>
      </c>
      <c r="U123" s="314">
        <v>1709.699649490844</v>
      </c>
      <c r="V123" s="314">
        <v>1760.9906389755697</v>
      </c>
      <c r="W123" s="314">
        <v>1813.820358144837</v>
      </c>
      <c r="X123" s="314">
        <v>1868.2349688891818</v>
      </c>
      <c r="Y123" s="314">
        <v>1924.2820179558571</v>
      </c>
      <c r="Z123" s="314">
        <v>1982.0104784945333</v>
      </c>
      <c r="AA123" s="314">
        <v>2041.4707928493694</v>
      </c>
      <c r="AB123" s="314">
        <v>2102.7149166348499</v>
      </c>
      <c r="AC123" s="314">
        <v>2165.7963641338961</v>
      </c>
      <c r="AD123" s="314">
        <v>2230.7702550579124</v>
      </c>
      <c r="AE123" s="314">
        <v>2297.6933627096505</v>
      </c>
      <c r="AF123" s="314">
        <v>2366.62416359094</v>
      </c>
      <c r="AG123" s="314">
        <v>2437.6228884986676</v>
      </c>
      <c r="AH123" s="314">
        <v>2510.7515751536275</v>
      </c>
      <c r="AI123" s="314">
        <v>2560.5555555555557</v>
      </c>
      <c r="AJ123" s="314">
        <v>2560.5555555555557</v>
      </c>
      <c r="AK123" s="314">
        <v>2560.5555555555557</v>
      </c>
      <c r="AL123" s="314">
        <v>2560.5555555555557</v>
      </c>
    </row>
    <row r="124" spans="3:38">
      <c r="C124" s="51"/>
      <c r="E124" s="53" t="s">
        <v>258</v>
      </c>
      <c r="F124" s="313">
        <v>9660</v>
      </c>
      <c r="G124" s="314">
        <v>12075</v>
      </c>
      <c r="H124" s="314">
        <v>13282.5</v>
      </c>
      <c r="I124" s="314">
        <v>14610.75</v>
      </c>
      <c r="J124" s="314">
        <v>16071.825000000004</v>
      </c>
      <c r="K124" s="314">
        <v>16875.416250000006</v>
      </c>
      <c r="L124" s="314">
        <v>17719.187062500008</v>
      </c>
      <c r="M124" s="314">
        <v>17388.000000000004</v>
      </c>
      <c r="N124" s="314">
        <v>17388.000000000004</v>
      </c>
      <c r="O124" s="314">
        <v>17388.000000000004</v>
      </c>
      <c r="P124" s="314">
        <v>17388.000000000004</v>
      </c>
      <c r="Q124" s="314">
        <v>17388.000000000004</v>
      </c>
      <c r="R124" s="314">
        <v>17388.000000000004</v>
      </c>
      <c r="S124" s="314">
        <v>17388.000000000004</v>
      </c>
      <c r="T124" s="314">
        <v>17388.000000000004</v>
      </c>
      <c r="U124" s="314">
        <v>17388.000000000004</v>
      </c>
      <c r="V124" s="314">
        <v>17388.000000000004</v>
      </c>
      <c r="W124" s="314">
        <v>17388.000000000004</v>
      </c>
      <c r="X124" s="314">
        <v>17388.000000000004</v>
      </c>
      <c r="Y124" s="314">
        <v>17388.000000000004</v>
      </c>
      <c r="Z124" s="314">
        <v>17388.000000000004</v>
      </c>
      <c r="AA124" s="314">
        <v>17388.000000000004</v>
      </c>
      <c r="AB124" s="314">
        <v>17388.000000000004</v>
      </c>
      <c r="AC124" s="314">
        <v>17388.000000000004</v>
      </c>
      <c r="AD124" s="314">
        <v>17388.000000000004</v>
      </c>
      <c r="AE124" s="314">
        <v>17388.000000000004</v>
      </c>
      <c r="AF124" s="314">
        <v>17388.000000000004</v>
      </c>
      <c r="AG124" s="314">
        <v>17388.000000000004</v>
      </c>
      <c r="AH124" s="314">
        <v>17388.000000000004</v>
      </c>
      <c r="AI124" s="314">
        <v>17388.000000000004</v>
      </c>
      <c r="AJ124" s="314">
        <v>17388.000000000004</v>
      </c>
      <c r="AK124" s="314">
        <v>17388.000000000004</v>
      </c>
      <c r="AL124" s="314">
        <v>17388.000000000004</v>
      </c>
    </row>
    <row r="125" spans="3:38">
      <c r="C125" s="51"/>
      <c r="E125" s="53" t="s">
        <v>259</v>
      </c>
      <c r="F125" s="313">
        <v>1819.9999999999995</v>
      </c>
      <c r="G125" s="314">
        <v>2184</v>
      </c>
      <c r="H125" s="314">
        <v>2402.3999999999987</v>
      </c>
      <c r="I125" s="314">
        <v>2642.6399999999994</v>
      </c>
      <c r="J125" s="314">
        <v>2906.9039999999995</v>
      </c>
      <c r="K125" s="314">
        <v>3052.2492000000002</v>
      </c>
      <c r="L125" s="314">
        <v>3204.8616599999996</v>
      </c>
      <c r="M125" s="314">
        <v>3220</v>
      </c>
      <c r="N125" s="314">
        <v>3220</v>
      </c>
      <c r="O125" s="314">
        <v>3220</v>
      </c>
      <c r="P125" s="314">
        <v>3220</v>
      </c>
      <c r="Q125" s="314">
        <v>3220</v>
      </c>
      <c r="R125" s="314">
        <v>3220</v>
      </c>
      <c r="S125" s="314">
        <v>3220</v>
      </c>
      <c r="T125" s="314">
        <v>3220</v>
      </c>
      <c r="U125" s="314">
        <v>3220</v>
      </c>
      <c r="V125" s="314">
        <v>3220</v>
      </c>
      <c r="W125" s="314">
        <v>3220</v>
      </c>
      <c r="X125" s="314">
        <v>3220</v>
      </c>
      <c r="Y125" s="314">
        <v>3220</v>
      </c>
      <c r="Z125" s="314">
        <v>3220</v>
      </c>
      <c r="AA125" s="314">
        <v>3220</v>
      </c>
      <c r="AB125" s="314">
        <v>3220</v>
      </c>
      <c r="AC125" s="314">
        <v>3220</v>
      </c>
      <c r="AD125" s="314">
        <v>3220</v>
      </c>
      <c r="AE125" s="314">
        <v>3220</v>
      </c>
      <c r="AF125" s="314">
        <v>3220</v>
      </c>
      <c r="AG125" s="314">
        <v>3220</v>
      </c>
      <c r="AH125" s="314">
        <v>3220</v>
      </c>
      <c r="AI125" s="314">
        <v>3220</v>
      </c>
      <c r="AJ125" s="314">
        <v>3220</v>
      </c>
      <c r="AK125" s="314">
        <v>3220</v>
      </c>
      <c r="AL125" s="314">
        <v>3220</v>
      </c>
    </row>
    <row r="126" spans="3:38">
      <c r="C126" s="51"/>
      <c r="E126" s="52" t="s">
        <v>221</v>
      </c>
      <c r="F126" s="311">
        <v>15781.65</v>
      </c>
      <c r="G126" s="312">
        <v>18646.682999999997</v>
      </c>
      <c r="H126" s="312">
        <v>20160.336659999997</v>
      </c>
      <c r="I126" s="312">
        <v>51227.952039610886</v>
      </c>
      <c r="J126" s="312">
        <v>105578.06828736629</v>
      </c>
      <c r="K126" s="312">
        <v>108803.50755425313</v>
      </c>
      <c r="L126" s="312">
        <v>110701.23913172164</v>
      </c>
      <c r="M126" s="312">
        <v>111302.57558851356</v>
      </c>
      <c r="N126" s="312">
        <v>112236.30819294875</v>
      </c>
      <c r="O126" s="312">
        <v>113186.70544626292</v>
      </c>
      <c r="P126" s="312">
        <v>114154.09140431897</v>
      </c>
      <c r="Q126" s="312">
        <v>115138.79711845984</v>
      </c>
      <c r="R126" s="312">
        <v>116141.16080311693</v>
      </c>
      <c r="S126" s="312">
        <v>117095.18429525872</v>
      </c>
      <c r="T126" s="312">
        <v>118001.76399411229</v>
      </c>
      <c r="U126" s="312">
        <v>118923.09670511259</v>
      </c>
      <c r="V126" s="312">
        <v>119859.43213075238</v>
      </c>
      <c r="W126" s="312">
        <v>120811.0244748371</v>
      </c>
      <c r="X126" s="312">
        <v>121778.1325311831</v>
      </c>
      <c r="Y126" s="312">
        <v>122761.01977425827</v>
      </c>
      <c r="Z126" s="312">
        <v>123759.95445181253</v>
      </c>
      <c r="AA126" s="312">
        <v>124775.20967954674</v>
      </c>
      <c r="AB126" s="312">
        <v>125807.06353786895</v>
      </c>
      <c r="AC126" s="312">
        <v>126855.79917079002</v>
      </c>
      <c r="AD126" s="312">
        <v>127921.70488701014</v>
      </c>
      <c r="AE126" s="312">
        <v>129005.07426325006</v>
      </c>
      <c r="AF126" s="312">
        <v>130106.20624988263</v>
      </c>
      <c r="AG126" s="312">
        <v>131225.40527892084</v>
      </c>
      <c r="AH126" s="312">
        <v>132362.98137442023</v>
      </c>
      <c r="AI126" s="312">
        <v>133493.73169850372</v>
      </c>
      <c r="AJ126" s="312">
        <v>134591.43271051234</v>
      </c>
      <c r="AK126" s="312">
        <v>135706.14808820709</v>
      </c>
      <c r="AL126" s="312">
        <v>136838.14155425612</v>
      </c>
    </row>
    <row r="127" spans="3:38" ht="3.75" customHeight="1">
      <c r="E127" s="52"/>
      <c r="F127" s="311"/>
      <c r="G127" s="312"/>
      <c r="H127" s="312"/>
      <c r="I127" s="312"/>
      <c r="J127" s="312"/>
      <c r="K127" s="312"/>
      <c r="L127" s="312"/>
      <c r="M127" s="312"/>
      <c r="N127" s="312"/>
      <c r="O127" s="312"/>
      <c r="P127" s="312"/>
      <c r="Q127" s="312"/>
      <c r="R127" s="312"/>
      <c r="S127" s="312"/>
      <c r="T127" s="312"/>
      <c r="U127" s="312"/>
      <c r="V127" s="312"/>
      <c r="W127" s="312"/>
      <c r="X127" s="312"/>
      <c r="Y127" s="312"/>
      <c r="Z127" s="312"/>
      <c r="AA127" s="312"/>
      <c r="AB127" s="312"/>
      <c r="AC127" s="312"/>
      <c r="AD127" s="312"/>
      <c r="AE127" s="312"/>
      <c r="AF127" s="312"/>
      <c r="AG127" s="312"/>
      <c r="AH127" s="312"/>
      <c r="AI127" s="312"/>
      <c r="AJ127" s="312"/>
      <c r="AK127" s="312"/>
      <c r="AL127" s="312"/>
    </row>
    <row r="128" spans="3:38">
      <c r="C128" s="412"/>
      <c r="E128" s="53" t="s">
        <v>547</v>
      </c>
      <c r="F128" s="313">
        <v>1458</v>
      </c>
      <c r="G128" s="314">
        <v>1501.74</v>
      </c>
      <c r="H128" s="314">
        <v>1546.7922000000001</v>
      </c>
      <c r="I128" s="314">
        <v>1593.1959660000002</v>
      </c>
      <c r="J128" s="314">
        <v>1640.9918449800002</v>
      </c>
      <c r="K128" s="314">
        <v>1690.2216003294002</v>
      </c>
      <c r="L128" s="314">
        <v>1740.9282483392822</v>
      </c>
      <c r="M128" s="314">
        <v>1793.1560957894608</v>
      </c>
      <c r="N128" s="314">
        <v>1846.9507786631445</v>
      </c>
      <c r="O128" s="314">
        <v>1902.3593020230389</v>
      </c>
      <c r="P128" s="314">
        <v>1959.4300810837301</v>
      </c>
      <c r="Q128" s="314">
        <v>2018.212983516242</v>
      </c>
      <c r="R128" s="314">
        <v>2078.7593730217295</v>
      </c>
      <c r="S128" s="314">
        <v>2141.1221542123812</v>
      </c>
      <c r="T128" s="314">
        <v>2205.3558188387528</v>
      </c>
      <c r="U128" s="314">
        <v>2271.5164934039153</v>
      </c>
      <c r="V128" s="314">
        <v>2339.6619882060327</v>
      </c>
      <c r="W128" s="314">
        <v>2409.8518478522137</v>
      </c>
      <c r="X128" s="314">
        <v>2482.14740328778</v>
      </c>
      <c r="Y128" s="314">
        <v>2556.6118253864133</v>
      </c>
      <c r="Z128" s="314">
        <v>2633.3101801480057</v>
      </c>
      <c r="AA128" s="314">
        <v>2712.3094855524459</v>
      </c>
      <c r="AB128" s="314">
        <v>2793.6787701190192</v>
      </c>
      <c r="AC128" s="314">
        <v>2877.4891332225898</v>
      </c>
      <c r="AD128" s="314">
        <v>2963.8138072192673</v>
      </c>
      <c r="AE128" s="314">
        <v>3052.7282214358456</v>
      </c>
      <c r="AF128" s="314">
        <v>3144.3100680789212</v>
      </c>
      <c r="AG128" s="314">
        <v>3238.6393701212887</v>
      </c>
      <c r="AH128" s="314">
        <v>3335.7985512249275</v>
      </c>
      <c r="AI128" s="314">
        <v>3435.8725077616755</v>
      </c>
      <c r="AJ128" s="314">
        <v>3538.9486829945258</v>
      </c>
      <c r="AK128" s="314">
        <v>3645.1171434843618</v>
      </c>
      <c r="AL128" s="314">
        <v>3754.4706577888928</v>
      </c>
    </row>
    <row r="129" spans="1:40">
      <c r="C129" s="412"/>
      <c r="E129" s="53" t="s">
        <v>548</v>
      </c>
      <c r="F129" s="313">
        <v>1677</v>
      </c>
      <c r="G129" s="314">
        <v>1727.31</v>
      </c>
      <c r="H129" s="314">
        <v>1779.1293000000001</v>
      </c>
      <c r="I129" s="314">
        <v>1832.503179</v>
      </c>
      <c r="J129" s="314">
        <v>1887.47827437</v>
      </c>
      <c r="K129" s="314">
        <v>1944.1026226011002</v>
      </c>
      <c r="L129" s="314">
        <v>2002.4257012791331</v>
      </c>
      <c r="M129" s="314">
        <v>2062.4984723175071</v>
      </c>
      <c r="N129" s="314">
        <v>2124.3734264870322</v>
      </c>
      <c r="O129" s="314">
        <v>2188.1046292816432</v>
      </c>
      <c r="P129" s="314">
        <v>2253.7477681600926</v>
      </c>
      <c r="Q129" s="314">
        <v>2321.3602012048955</v>
      </c>
      <c r="R129" s="314">
        <v>2391.0010072410423</v>
      </c>
      <c r="S129" s="314">
        <v>2462.7310374582735</v>
      </c>
      <c r="T129" s="314">
        <v>2536.6129685820219</v>
      </c>
      <c r="U129" s="314">
        <v>2612.7113576394827</v>
      </c>
      <c r="V129" s="314">
        <v>2691.0926983686672</v>
      </c>
      <c r="W129" s="314">
        <v>2771.8254793197275</v>
      </c>
      <c r="X129" s="314">
        <v>2854.9802436993195</v>
      </c>
      <c r="Y129" s="314">
        <v>2940.6296510102993</v>
      </c>
      <c r="Z129" s="314">
        <v>3028.8485405406082</v>
      </c>
      <c r="AA129" s="314">
        <v>3119.7139967568264</v>
      </c>
      <c r="AB129" s="314">
        <v>3213.3054166595311</v>
      </c>
      <c r="AC129" s="314">
        <v>3309.7045791593173</v>
      </c>
      <c r="AD129" s="314">
        <v>3408.995716534097</v>
      </c>
      <c r="AE129" s="314">
        <v>3511.2655880301199</v>
      </c>
      <c r="AF129" s="314">
        <v>3616.6035556710235</v>
      </c>
      <c r="AG129" s="314">
        <v>3725.1016623411542</v>
      </c>
      <c r="AH129" s="314">
        <v>3836.8547122113891</v>
      </c>
      <c r="AI129" s="314">
        <v>3951.960353577731</v>
      </c>
      <c r="AJ129" s="314">
        <v>4070.5191641850629</v>
      </c>
      <c r="AK129" s="314">
        <v>4192.6347391106146</v>
      </c>
      <c r="AL129" s="314">
        <v>4318.4137812839335</v>
      </c>
    </row>
    <row r="130" spans="1:40">
      <c r="C130" s="412"/>
      <c r="E130" s="53" t="s">
        <v>549</v>
      </c>
      <c r="F130" s="313">
        <v>1700</v>
      </c>
      <c r="G130" s="314">
        <v>1751</v>
      </c>
      <c r="H130" s="314">
        <v>1803.53</v>
      </c>
      <c r="I130" s="314">
        <v>1857.6359</v>
      </c>
      <c r="J130" s="314">
        <v>1913.364977</v>
      </c>
      <c r="K130" s="314">
        <v>1970.7659263099999</v>
      </c>
      <c r="L130" s="314">
        <v>2029.8889040992999</v>
      </c>
      <c r="M130" s="314">
        <v>2090.785571222279</v>
      </c>
      <c r="N130" s="314">
        <v>2153.5091383589474</v>
      </c>
      <c r="O130" s="314">
        <v>2218.1144125097157</v>
      </c>
      <c r="P130" s="314">
        <v>2284.6578448850073</v>
      </c>
      <c r="Q130" s="314">
        <v>2353.1975802315574</v>
      </c>
      <c r="R130" s="314">
        <v>2423.7935076385043</v>
      </c>
      <c r="S130" s="314">
        <v>2496.5073128676595</v>
      </c>
      <c r="T130" s="314">
        <v>2571.4025322536895</v>
      </c>
      <c r="U130" s="314">
        <v>2648.5446082213002</v>
      </c>
      <c r="V130" s="314">
        <v>2728.0009464679392</v>
      </c>
      <c r="W130" s="314">
        <v>2809.8409748619774</v>
      </c>
      <c r="X130" s="314">
        <v>2894.1362041078369</v>
      </c>
      <c r="Y130" s="314">
        <v>2980.9602902310721</v>
      </c>
      <c r="Z130" s="314">
        <v>3070.3890989380043</v>
      </c>
      <c r="AA130" s="314">
        <v>3162.5007719061446</v>
      </c>
      <c r="AB130" s="314">
        <v>3257.375795063329</v>
      </c>
      <c r="AC130" s="314">
        <v>3355.0970689152291</v>
      </c>
      <c r="AD130" s="314">
        <v>3455.7499809826859</v>
      </c>
      <c r="AE130" s="314">
        <v>3559.4224804121664</v>
      </c>
      <c r="AF130" s="314">
        <v>3666.2051548245313</v>
      </c>
      <c r="AG130" s="314">
        <v>3776.1913094692673</v>
      </c>
      <c r="AH130" s="314">
        <v>3889.4770487533456</v>
      </c>
      <c r="AI130" s="314">
        <v>4006.1613602159459</v>
      </c>
      <c r="AJ130" s="314">
        <v>4126.3462010224248</v>
      </c>
      <c r="AK130" s="314">
        <v>4250.1365870530981</v>
      </c>
      <c r="AL130" s="314">
        <v>4377.6406846646914</v>
      </c>
    </row>
    <row r="131" spans="1:40">
      <c r="C131" s="412"/>
      <c r="E131" s="53" t="s">
        <v>550</v>
      </c>
      <c r="F131" s="313">
        <v>1263</v>
      </c>
      <c r="G131" s="314">
        <v>1300.8900000000001</v>
      </c>
      <c r="H131" s="314">
        <v>1339.9167000000002</v>
      </c>
      <c r="I131" s="314">
        <v>1380.1142010000003</v>
      </c>
      <c r="J131" s="314">
        <v>1421.5176270300003</v>
      </c>
      <c r="K131" s="314">
        <v>1464.1631558409003</v>
      </c>
      <c r="L131" s="314">
        <v>1508.0880505161274</v>
      </c>
      <c r="M131" s="314">
        <v>1553.3306920316113</v>
      </c>
      <c r="N131" s="314">
        <v>1599.9306127925597</v>
      </c>
      <c r="O131" s="314">
        <v>1647.9285311763365</v>
      </c>
      <c r="P131" s="314">
        <v>1697.3663871116266</v>
      </c>
      <c r="Q131" s="314">
        <v>1748.2873787249755</v>
      </c>
      <c r="R131" s="314">
        <v>1800.7360000867247</v>
      </c>
      <c r="S131" s="314">
        <v>1854.7580800893265</v>
      </c>
      <c r="T131" s="314">
        <v>1910.4008224920065</v>
      </c>
      <c r="U131" s="314">
        <v>1967.7128471667668</v>
      </c>
      <c r="V131" s="314">
        <v>2026.7442325817699</v>
      </c>
      <c r="W131" s="314">
        <v>2087.5465595592232</v>
      </c>
      <c r="X131" s="314">
        <v>2150.1729563459999</v>
      </c>
      <c r="Y131" s="314">
        <v>2214.6781450363801</v>
      </c>
      <c r="Z131" s="314">
        <v>2281.1184893874715</v>
      </c>
      <c r="AA131" s="314">
        <v>2349.5520440690957</v>
      </c>
      <c r="AB131" s="314">
        <v>2420.0386053911689</v>
      </c>
      <c r="AC131" s="314">
        <v>2492.6397635529038</v>
      </c>
      <c r="AD131" s="314">
        <v>2567.4189564594908</v>
      </c>
      <c r="AE131" s="314">
        <v>2644.4415251532755</v>
      </c>
      <c r="AF131" s="314">
        <v>2723.774770907874</v>
      </c>
      <c r="AG131" s="314">
        <v>2805.4880140351102</v>
      </c>
      <c r="AH131" s="314">
        <v>2889.6526544561634</v>
      </c>
      <c r="AI131" s="314">
        <v>2976.3422340898483</v>
      </c>
      <c r="AJ131" s="314">
        <v>3065.6325011125437</v>
      </c>
      <c r="AK131" s="314">
        <v>3157.6014761459201</v>
      </c>
      <c r="AL131" s="314">
        <v>3252.3295204302976</v>
      </c>
    </row>
    <row r="132" spans="1:40">
      <c r="C132" s="412"/>
      <c r="E132" s="53" t="s">
        <v>408</v>
      </c>
      <c r="F132" s="313"/>
      <c r="G132" s="314"/>
      <c r="H132" s="314"/>
      <c r="I132" s="314">
        <v>0</v>
      </c>
      <c r="J132" s="314">
        <v>0</v>
      </c>
      <c r="K132" s="314">
        <v>0</v>
      </c>
      <c r="L132" s="314">
        <v>0</v>
      </c>
      <c r="M132" s="314">
        <v>0</v>
      </c>
      <c r="N132" s="314">
        <v>0</v>
      </c>
      <c r="O132" s="314">
        <v>0</v>
      </c>
      <c r="P132" s="314">
        <v>0</v>
      </c>
      <c r="Q132" s="314">
        <v>0</v>
      </c>
      <c r="R132" s="314">
        <v>0</v>
      </c>
      <c r="S132" s="314">
        <v>0</v>
      </c>
      <c r="T132" s="314">
        <v>0</v>
      </c>
      <c r="U132" s="314">
        <v>0</v>
      </c>
      <c r="V132" s="314">
        <v>0</v>
      </c>
      <c r="W132" s="314">
        <v>0</v>
      </c>
      <c r="X132" s="314">
        <v>0</v>
      </c>
      <c r="Y132" s="314">
        <v>0</v>
      </c>
      <c r="Z132" s="314">
        <v>0</v>
      </c>
      <c r="AA132" s="314">
        <v>0</v>
      </c>
      <c r="AB132" s="314">
        <v>0</v>
      </c>
      <c r="AC132" s="314">
        <v>0</v>
      </c>
      <c r="AD132" s="314">
        <v>0</v>
      </c>
      <c r="AE132" s="314">
        <v>0</v>
      </c>
      <c r="AF132" s="314">
        <v>0</v>
      </c>
      <c r="AG132" s="314">
        <v>0</v>
      </c>
      <c r="AH132" s="314">
        <v>0</v>
      </c>
      <c r="AI132" s="314">
        <v>0</v>
      </c>
      <c r="AJ132" s="314">
        <v>0</v>
      </c>
      <c r="AK132" s="314">
        <v>0</v>
      </c>
      <c r="AL132" s="314">
        <v>0</v>
      </c>
    </row>
    <row r="133" spans="1:40">
      <c r="C133" s="412"/>
      <c r="E133" s="53" t="s">
        <v>409</v>
      </c>
      <c r="F133" s="313"/>
      <c r="G133" s="314"/>
      <c r="H133" s="314"/>
      <c r="I133" s="314">
        <v>1049.9999999999998</v>
      </c>
      <c r="J133" s="314">
        <v>3059.9999999999995</v>
      </c>
      <c r="K133" s="314">
        <v>3121.1999999999994</v>
      </c>
      <c r="L133" s="314">
        <v>3183.6239999999993</v>
      </c>
      <c r="M133" s="314">
        <v>3247.2964799999995</v>
      </c>
      <c r="N133" s="314">
        <v>3312.2424095999995</v>
      </c>
      <c r="O133" s="314">
        <v>3378.4872577919996</v>
      </c>
      <c r="P133" s="314">
        <v>3446.057002947839</v>
      </c>
      <c r="Q133" s="314">
        <v>3514.978143006796</v>
      </c>
      <c r="R133" s="314">
        <v>3585.2777058669321</v>
      </c>
      <c r="S133" s="314">
        <v>3656.9832599842707</v>
      </c>
      <c r="T133" s="314">
        <v>3730.1229251839554</v>
      </c>
      <c r="U133" s="314">
        <v>3804.7253836876353</v>
      </c>
      <c r="V133" s="314">
        <v>3880.8198913613878</v>
      </c>
      <c r="W133" s="314">
        <v>3958.4362891886158</v>
      </c>
      <c r="X133" s="314">
        <v>4037.6050149723869</v>
      </c>
      <c r="Y133" s="314">
        <v>4118.3571152718359</v>
      </c>
      <c r="Z133" s="314">
        <v>4200.7242575772725</v>
      </c>
      <c r="AA133" s="314">
        <v>4284.7387427288177</v>
      </c>
      <c r="AB133" s="314">
        <v>4370.433517583394</v>
      </c>
      <c r="AC133" s="314">
        <v>4457.8421879350617</v>
      </c>
      <c r="AD133" s="314">
        <v>4546.9990316937628</v>
      </c>
      <c r="AE133" s="314">
        <v>4637.939012327638</v>
      </c>
      <c r="AF133" s="314">
        <v>4730.6977925741903</v>
      </c>
      <c r="AG133" s="314">
        <v>4825.3117484256745</v>
      </c>
      <c r="AH133" s="314">
        <v>4921.8179833941876</v>
      </c>
      <c r="AI133" s="314">
        <v>5020.2543430620726</v>
      </c>
      <c r="AJ133" s="314">
        <v>5120.6594299233129</v>
      </c>
      <c r="AK133" s="314">
        <v>5223.07261852178</v>
      </c>
      <c r="AL133" s="314">
        <v>5327.5340708922149</v>
      </c>
    </row>
    <row r="134" spans="1:40">
      <c r="C134" s="412"/>
      <c r="E134" s="53" t="s">
        <v>560</v>
      </c>
      <c r="F134" s="313"/>
      <c r="G134" s="314"/>
      <c r="H134" s="314"/>
      <c r="I134" s="314">
        <v>5211.613476304723</v>
      </c>
      <c r="J134" s="314">
        <v>14890.324218013497</v>
      </c>
      <c r="K134" s="314">
        <v>14890.324218013497</v>
      </c>
      <c r="L134" s="314">
        <v>14890.324218013497</v>
      </c>
      <c r="M134" s="314">
        <v>14890.324218013497</v>
      </c>
      <c r="N134" s="314">
        <v>14890.324218013497</v>
      </c>
      <c r="O134" s="314">
        <v>14890.324218013497</v>
      </c>
      <c r="P134" s="314">
        <v>14890.324218013497</v>
      </c>
      <c r="Q134" s="314">
        <v>14890.324218013497</v>
      </c>
      <c r="R134" s="314">
        <v>14890.324218013497</v>
      </c>
      <c r="S134" s="314">
        <v>14890.324218013497</v>
      </c>
      <c r="T134" s="314">
        <v>14890.324218013497</v>
      </c>
      <c r="U134" s="314">
        <v>14890.324218013497</v>
      </c>
      <c r="V134" s="314">
        <v>14890.324218013497</v>
      </c>
      <c r="W134" s="314">
        <v>14890.324218013497</v>
      </c>
      <c r="X134" s="314">
        <v>14890.324218013497</v>
      </c>
      <c r="Y134" s="314">
        <v>14890.324218013497</v>
      </c>
      <c r="Z134" s="314">
        <v>14890.324218013497</v>
      </c>
      <c r="AA134" s="314">
        <v>14890.324218013497</v>
      </c>
      <c r="AB134" s="314">
        <v>14890.324218013497</v>
      </c>
      <c r="AC134" s="314">
        <v>14890.324218013497</v>
      </c>
      <c r="AD134" s="314">
        <v>14890.324218013497</v>
      </c>
      <c r="AE134" s="314">
        <v>14890.324218013497</v>
      </c>
      <c r="AF134" s="314">
        <v>14890.324218013497</v>
      </c>
      <c r="AG134" s="314">
        <v>14890.324218013497</v>
      </c>
      <c r="AH134" s="314">
        <v>14890.324218013497</v>
      </c>
      <c r="AI134" s="314">
        <v>14890.324218013497</v>
      </c>
      <c r="AJ134" s="314">
        <v>14890.324218013497</v>
      </c>
      <c r="AK134" s="314">
        <v>14890.324218013497</v>
      </c>
      <c r="AL134" s="314">
        <v>14890.324218013497</v>
      </c>
    </row>
    <row r="135" spans="1:40">
      <c r="C135" s="412"/>
      <c r="E135" s="53" t="s">
        <v>551</v>
      </c>
      <c r="F135" s="313"/>
      <c r="G135" s="314"/>
      <c r="H135" s="314"/>
      <c r="I135" s="314">
        <v>510</v>
      </c>
      <c r="J135" s="314">
        <v>525.30000000000007</v>
      </c>
      <c r="K135" s="314">
        <v>541.05900000000008</v>
      </c>
      <c r="L135" s="314">
        <v>557.29077000000007</v>
      </c>
      <c r="M135" s="314">
        <v>574.0094931000001</v>
      </c>
      <c r="N135" s="314">
        <v>591.22977789300012</v>
      </c>
      <c r="O135" s="314">
        <v>608.96667122979011</v>
      </c>
      <c r="P135" s="314">
        <v>627.23567136668385</v>
      </c>
      <c r="Q135" s="314">
        <v>646.05274150768435</v>
      </c>
      <c r="R135" s="314">
        <v>665.43432375291491</v>
      </c>
      <c r="S135" s="314">
        <v>685.39735346550242</v>
      </c>
      <c r="T135" s="314">
        <v>705.95927406946748</v>
      </c>
      <c r="U135" s="314">
        <v>727.1380522915515</v>
      </c>
      <c r="V135" s="314">
        <v>748.95219386029805</v>
      </c>
      <c r="W135" s="314">
        <v>771.42075967610697</v>
      </c>
      <c r="X135" s="314">
        <v>794.56338246639018</v>
      </c>
      <c r="Y135" s="314">
        <v>818.40028394038188</v>
      </c>
      <c r="Z135" s="314">
        <v>842.95229245859332</v>
      </c>
      <c r="AA135" s="314">
        <v>868.24086123235111</v>
      </c>
      <c r="AB135" s="314">
        <v>894.2880870693217</v>
      </c>
      <c r="AC135" s="314">
        <v>921.11672968140135</v>
      </c>
      <c r="AD135" s="314">
        <v>948.75023157184341</v>
      </c>
      <c r="AE135" s="314">
        <v>977.21273851899878</v>
      </c>
      <c r="AF135" s="314">
        <v>1006.5291206745687</v>
      </c>
      <c r="AG135" s="314">
        <v>1036.7249942948058</v>
      </c>
      <c r="AH135" s="314">
        <v>1067.8267441236501</v>
      </c>
      <c r="AI135" s="314">
        <v>1099.8615464473596</v>
      </c>
      <c r="AJ135" s="314">
        <v>1132.8573928407804</v>
      </c>
      <c r="AK135" s="314">
        <v>1166.8431146260039</v>
      </c>
      <c r="AL135" s="314">
        <v>1201.8484080647841</v>
      </c>
    </row>
    <row r="136" spans="1:40">
      <c r="C136" s="412"/>
      <c r="E136" s="52" t="s">
        <v>224</v>
      </c>
      <c r="F136" s="311">
        <v>6098</v>
      </c>
      <c r="G136" s="312">
        <v>6280.9400000000005</v>
      </c>
      <c r="H136" s="312">
        <v>6469.3682000000008</v>
      </c>
      <c r="I136" s="312">
        <v>13435.062722304723</v>
      </c>
      <c r="J136" s="312">
        <v>25338.976941393496</v>
      </c>
      <c r="K136" s="312">
        <v>25621.836523094898</v>
      </c>
      <c r="L136" s="312">
        <v>25912.569892247338</v>
      </c>
      <c r="M136" s="312">
        <v>26211.401022474354</v>
      </c>
      <c r="N136" s="312">
        <v>26518.56036180818</v>
      </c>
      <c r="O136" s="312">
        <v>26834.285022026022</v>
      </c>
      <c r="P136" s="312">
        <v>27158.818973568475</v>
      </c>
      <c r="Q136" s="312">
        <v>27492.413246205648</v>
      </c>
      <c r="R136" s="312">
        <v>27835.326135621344</v>
      </c>
      <c r="S136" s="312">
        <v>28187.823416090909</v>
      </c>
      <c r="T136" s="312">
        <v>28550.178559433392</v>
      </c>
      <c r="U136" s="312">
        <v>28922.672960424148</v>
      </c>
      <c r="V136" s="312">
        <v>29305.596168859593</v>
      </c>
      <c r="W136" s="312">
        <v>29699.246128471361</v>
      </c>
      <c r="X136" s="312">
        <v>30103.929422893209</v>
      </c>
      <c r="Y136" s="312">
        <v>30519.961528889875</v>
      </c>
      <c r="Z136" s="312">
        <v>30947.667077063456</v>
      </c>
      <c r="AA136" s="312">
        <v>31387.380120259182</v>
      </c>
      <c r="AB136" s="312">
        <v>31839.444409899264</v>
      </c>
      <c r="AC136" s="312">
        <v>32304.213680479996</v>
      </c>
      <c r="AD136" s="312">
        <v>32782.051942474645</v>
      </c>
      <c r="AE136" s="312">
        <v>33273.333783891539</v>
      </c>
      <c r="AF136" s="312">
        <v>33778.444680744607</v>
      </c>
      <c r="AG136" s="312">
        <v>34297.781316700799</v>
      </c>
      <c r="AH136" s="312">
        <v>34831.751912177162</v>
      </c>
      <c r="AI136" s="312">
        <v>35380.776563168132</v>
      </c>
      <c r="AJ136" s="312">
        <v>35945.28759009215</v>
      </c>
      <c r="AK136" s="312">
        <v>36525.729896955272</v>
      </c>
      <c r="AL136" s="312">
        <v>37122.561341138309</v>
      </c>
    </row>
    <row r="137" spans="1:40" ht="3.75" customHeight="1">
      <c r="E137" s="67"/>
      <c r="F137" s="341"/>
      <c r="G137" s="342"/>
      <c r="H137" s="342"/>
      <c r="I137" s="342"/>
      <c r="J137" s="342"/>
      <c r="K137" s="342"/>
      <c r="L137" s="342"/>
      <c r="M137" s="342"/>
      <c r="N137" s="342"/>
      <c r="O137" s="342"/>
      <c r="P137" s="342"/>
      <c r="Q137" s="342"/>
      <c r="R137" s="342"/>
      <c r="S137" s="342"/>
      <c r="T137" s="342"/>
      <c r="U137" s="342"/>
      <c r="V137" s="342"/>
      <c r="W137" s="342"/>
      <c r="X137" s="342"/>
      <c r="Y137" s="342"/>
      <c r="Z137" s="342"/>
      <c r="AA137" s="342"/>
      <c r="AB137" s="342"/>
      <c r="AC137" s="342"/>
      <c r="AD137" s="342"/>
      <c r="AE137" s="342"/>
      <c r="AF137" s="342"/>
      <c r="AG137" s="342"/>
      <c r="AH137" s="342"/>
      <c r="AI137" s="342"/>
      <c r="AJ137" s="342"/>
      <c r="AK137" s="342"/>
      <c r="AL137" s="342"/>
    </row>
    <row r="138" spans="1:40">
      <c r="C138" s="51"/>
      <c r="E138" s="68" t="s">
        <v>225</v>
      </c>
      <c r="F138" s="343">
        <v>9683.65</v>
      </c>
      <c r="G138" s="344">
        <v>12365.742999999997</v>
      </c>
      <c r="H138" s="344">
        <v>13690.968459999996</v>
      </c>
      <c r="I138" s="344">
        <v>37792.889317306166</v>
      </c>
      <c r="J138" s="344">
        <v>80239.091345972789</v>
      </c>
      <c r="K138" s="344">
        <v>83181.671031158228</v>
      </c>
      <c r="L138" s="344">
        <v>84788.6692394743</v>
      </c>
      <c r="M138" s="344">
        <v>85091.174566039204</v>
      </c>
      <c r="N138" s="344">
        <v>85717.747831140572</v>
      </c>
      <c r="O138" s="344">
        <v>86352.420424236887</v>
      </c>
      <c r="P138" s="344">
        <v>86995.272430750498</v>
      </c>
      <c r="Q138" s="344">
        <v>87646.383872254199</v>
      </c>
      <c r="R138" s="344">
        <v>88305.834667495583</v>
      </c>
      <c r="S138" s="344">
        <v>88907.360879167813</v>
      </c>
      <c r="T138" s="344">
        <v>89451.585434678898</v>
      </c>
      <c r="U138" s="344">
        <v>90000.423744688451</v>
      </c>
      <c r="V138" s="344">
        <v>90553.835961892793</v>
      </c>
      <c r="W138" s="344">
        <v>91111.77834636574</v>
      </c>
      <c r="X138" s="344">
        <v>91674.20310828989</v>
      </c>
      <c r="Y138" s="344">
        <v>92241.058245368389</v>
      </c>
      <c r="Z138" s="344">
        <v>92812.287374749081</v>
      </c>
      <c r="AA138" s="344">
        <v>93387.829559287551</v>
      </c>
      <c r="AB138" s="344">
        <v>93967.61912796968</v>
      </c>
      <c r="AC138" s="344">
        <v>94551.585490310026</v>
      </c>
      <c r="AD138" s="344">
        <v>95139.652944535497</v>
      </c>
      <c r="AE138" s="344">
        <v>95731.74047935853</v>
      </c>
      <c r="AF138" s="344">
        <v>96327.76156913802</v>
      </c>
      <c r="AG138" s="344">
        <v>96927.623962220037</v>
      </c>
      <c r="AH138" s="344">
        <v>97531.229462243064</v>
      </c>
      <c r="AI138" s="344">
        <v>98112.955135335593</v>
      </c>
      <c r="AJ138" s="344">
        <v>98646.145120420188</v>
      </c>
      <c r="AK138" s="344">
        <v>99180.418191251811</v>
      </c>
      <c r="AL138" s="344">
        <v>99715.580213117806</v>
      </c>
    </row>
    <row r="139" spans="1:40" s="70" customFormat="1" ht="14.25" thickBot="1">
      <c r="A139" s="69"/>
      <c r="C139" s="51"/>
      <c r="E139" s="71" t="s">
        <v>226</v>
      </c>
      <c r="F139" s="72">
        <v>0.21389931966778583</v>
      </c>
      <c r="G139" s="73">
        <v>0.23115119651176133</v>
      </c>
      <c r="H139" s="73">
        <v>0.23669209847379347</v>
      </c>
      <c r="I139" s="73">
        <v>0.36699086666223679</v>
      </c>
      <c r="J139" s="73">
        <v>0.44255812996452765</v>
      </c>
      <c r="K139" s="73">
        <v>0.44652336841598389</v>
      </c>
      <c r="L139" s="73">
        <v>0.44730000074463838</v>
      </c>
      <c r="M139" s="73">
        <v>0.45004562288213174</v>
      </c>
      <c r="N139" s="73">
        <v>0.45232621791691263</v>
      </c>
      <c r="O139" s="73">
        <v>0.45460806781144947</v>
      </c>
      <c r="P139" s="73">
        <v>0.4568901856955343</v>
      </c>
      <c r="Q139" s="73">
        <v>0.45917154695059892</v>
      </c>
      <c r="R139" s="73">
        <v>0.46145108865011664</v>
      </c>
      <c r="S139" s="73">
        <v>0.4638402643430885</v>
      </c>
      <c r="T139" s="73">
        <v>0.46634348884719895</v>
      </c>
      <c r="U139" s="73">
        <v>0.46885702508364591</v>
      </c>
      <c r="V139" s="73">
        <v>0.47138017501786511</v>
      </c>
      <c r="W139" s="73">
        <v>0.47391220547885882</v>
      </c>
      <c r="X139" s="73">
        <v>0.47645234705778183</v>
      </c>
      <c r="Y139" s="73">
        <v>0.4789997929867601</v>
      </c>
      <c r="Z139" s="73">
        <v>0.48155369799848607</v>
      </c>
      <c r="AA139" s="73">
        <v>0.48411317716721347</v>
      </c>
      <c r="AB139" s="73">
        <v>0.48667730473186721</v>
      </c>
      <c r="AC139" s="73">
        <v>0.48924511290208084</v>
      </c>
      <c r="AD139" s="73">
        <v>0.49181559064807367</v>
      </c>
      <c r="AE139" s="73">
        <v>0.49438768247538967</v>
      </c>
      <c r="AF139" s="73">
        <v>0.49696028718563251</v>
      </c>
      <c r="AG139" s="73">
        <v>0.49953225662445844</v>
      </c>
      <c r="AH139" s="73">
        <v>0.50210239441820437</v>
      </c>
      <c r="AI139" s="73">
        <v>0.50472745922522211</v>
      </c>
      <c r="AJ139" s="73">
        <v>0.50747037555145913</v>
      </c>
      <c r="AK139" s="73">
        <v>0.51021886365072533</v>
      </c>
      <c r="AL139" s="73">
        <v>0.5129719248259561</v>
      </c>
      <c r="AN139" s="69"/>
    </row>
    <row r="140" spans="1:40" ht="3.75" customHeight="1">
      <c r="E140" s="74"/>
      <c r="F140" s="75"/>
      <c r="G140" s="76"/>
      <c r="H140" s="76"/>
      <c r="I140" s="76"/>
      <c r="J140" s="76"/>
      <c r="K140" s="76"/>
      <c r="L140" s="76"/>
      <c r="M140" s="76"/>
      <c r="N140" s="76"/>
      <c r="O140" s="76"/>
      <c r="P140" s="76"/>
      <c r="Q140" s="76"/>
      <c r="R140" s="76"/>
      <c r="S140" s="76"/>
      <c r="T140" s="76"/>
      <c r="U140" s="76"/>
      <c r="V140" s="76"/>
      <c r="W140" s="76"/>
      <c r="X140" s="76"/>
      <c r="Y140" s="76"/>
      <c r="Z140" s="76"/>
      <c r="AA140" s="76"/>
      <c r="AB140" s="76"/>
      <c r="AC140" s="76"/>
      <c r="AD140" s="76"/>
      <c r="AE140" s="76"/>
      <c r="AF140" s="76"/>
      <c r="AG140" s="76"/>
      <c r="AH140" s="76"/>
      <c r="AI140" s="76"/>
      <c r="AJ140" s="76"/>
      <c r="AK140" s="76"/>
      <c r="AL140" s="76"/>
    </row>
    <row r="141" spans="1:40">
      <c r="C141" s="412"/>
      <c r="E141" s="53" t="s">
        <v>227</v>
      </c>
      <c r="F141" s="313">
        <v>219</v>
      </c>
      <c r="G141" s="345">
        <v>225.57</v>
      </c>
      <c r="H141" s="314">
        <v>232.33709999999999</v>
      </c>
      <c r="I141" s="345">
        <v>239.30721299999999</v>
      </c>
      <c r="J141" s="314">
        <v>246.48642938999998</v>
      </c>
      <c r="K141" s="314">
        <v>253.88102227169998</v>
      </c>
      <c r="L141" s="314">
        <v>261.49745293985097</v>
      </c>
      <c r="M141" s="314">
        <v>269.34237652804649</v>
      </c>
      <c r="N141" s="314">
        <v>277.42264782388787</v>
      </c>
      <c r="O141" s="314">
        <v>285.7453272586045</v>
      </c>
      <c r="P141" s="314">
        <v>294.31768707636263</v>
      </c>
      <c r="Q141" s="314">
        <v>303.14721768865354</v>
      </c>
      <c r="R141" s="314">
        <v>312.24163421931314</v>
      </c>
      <c r="S141" s="314">
        <v>321.60888324589257</v>
      </c>
      <c r="T141" s="314">
        <v>331.25714974326934</v>
      </c>
      <c r="U141" s="314">
        <v>341.19486423556742</v>
      </c>
      <c r="V141" s="314">
        <v>351.43071016263445</v>
      </c>
      <c r="W141" s="314">
        <v>361.97363146751348</v>
      </c>
      <c r="X141" s="314">
        <v>372.83284041153888</v>
      </c>
      <c r="Y141" s="314">
        <v>384.01782562388507</v>
      </c>
      <c r="Z141" s="314">
        <v>395.53836039260165</v>
      </c>
      <c r="AA141" s="314">
        <v>407.40451120437973</v>
      </c>
      <c r="AB141" s="314">
        <v>419.62664654051116</v>
      </c>
      <c r="AC141" s="314">
        <v>432.2154459367265</v>
      </c>
      <c r="AD141" s="314">
        <v>445.18190931482832</v>
      </c>
      <c r="AE141" s="314">
        <v>458.53736659427318</v>
      </c>
      <c r="AF141" s="314">
        <v>472.29348759210137</v>
      </c>
      <c r="AG141" s="314">
        <v>486.46229221986442</v>
      </c>
      <c r="AH141" s="314">
        <v>501.05616098646038</v>
      </c>
      <c r="AI141" s="314">
        <v>516.08784581605426</v>
      </c>
      <c r="AJ141" s="314">
        <v>531.57048119053593</v>
      </c>
      <c r="AK141" s="314">
        <v>547.51759562625205</v>
      </c>
      <c r="AL141" s="314">
        <v>563.94312349503957</v>
      </c>
    </row>
    <row r="142" spans="1:40">
      <c r="C142" s="412"/>
      <c r="E142" s="53" t="s">
        <v>228</v>
      </c>
      <c r="F142" s="313">
        <v>4765</v>
      </c>
      <c r="G142" s="314">
        <v>4907.95</v>
      </c>
      <c r="H142" s="314">
        <v>5055.1885000000002</v>
      </c>
      <c r="I142" s="314">
        <v>6406.8441550000007</v>
      </c>
      <c r="J142" s="314">
        <v>6599.0494796500006</v>
      </c>
      <c r="K142" s="314">
        <v>6797.0209640395005</v>
      </c>
      <c r="L142" s="314">
        <v>7000.9315929606855</v>
      </c>
      <c r="M142" s="314">
        <v>7210.9595407495062</v>
      </c>
      <c r="N142" s="314">
        <v>7427.2883269719914</v>
      </c>
      <c r="O142" s="314">
        <v>7650.1069767811514</v>
      </c>
      <c r="P142" s="314">
        <v>7879.6101860845865</v>
      </c>
      <c r="Q142" s="314">
        <v>8115.9984916671247</v>
      </c>
      <c r="R142" s="314">
        <v>8359.4784464171389</v>
      </c>
      <c r="S142" s="314">
        <v>8610.2627998096541</v>
      </c>
      <c r="T142" s="314">
        <v>8868.5706838039441</v>
      </c>
      <c r="U142" s="314">
        <v>9134.6278043180628</v>
      </c>
      <c r="V142" s="314">
        <v>9408.6666384476048</v>
      </c>
      <c r="W142" s="314">
        <v>9690.9266376010328</v>
      </c>
      <c r="X142" s="314">
        <v>9981.6544367290644</v>
      </c>
      <c r="Y142" s="314">
        <v>10281.104069830937</v>
      </c>
      <c r="Z142" s="314">
        <v>10589.537191925865</v>
      </c>
      <c r="AA142" s="314">
        <v>10907.223307683642</v>
      </c>
      <c r="AB142" s="314">
        <v>11234.440006914152</v>
      </c>
      <c r="AC142" s="314">
        <v>11571.473207121577</v>
      </c>
      <c r="AD142" s="314">
        <v>11918.617403335224</v>
      </c>
      <c r="AE142" s="314">
        <v>12276.17592543528</v>
      </c>
      <c r="AF142" s="314">
        <v>12644.461203198338</v>
      </c>
      <c r="AG142" s="314">
        <v>13023.795039294288</v>
      </c>
      <c r="AH142" s="314">
        <v>13414.508890473116</v>
      </c>
      <c r="AI142" s="314">
        <v>13816.94415718731</v>
      </c>
      <c r="AJ142" s="314">
        <v>14231.45248190293</v>
      </c>
      <c r="AK142" s="314">
        <v>14658.396056360018</v>
      </c>
      <c r="AL142" s="314">
        <v>15098.147938050819</v>
      </c>
    </row>
    <row r="143" spans="1:40">
      <c r="C143" s="412"/>
      <c r="E143" s="52" t="s">
        <v>193</v>
      </c>
      <c r="F143" s="311">
        <v>4984</v>
      </c>
      <c r="G143" s="312">
        <v>5133.5199999999995</v>
      </c>
      <c r="H143" s="312">
        <v>5287.5255999999999</v>
      </c>
      <c r="I143" s="312">
        <v>6646.1513680000007</v>
      </c>
      <c r="J143" s="312">
        <v>6845.5359090400007</v>
      </c>
      <c r="K143" s="312">
        <v>7050.9019863112007</v>
      </c>
      <c r="L143" s="312">
        <v>7262.4290459005369</v>
      </c>
      <c r="M143" s="312">
        <v>7480.301917277553</v>
      </c>
      <c r="N143" s="312">
        <v>7704.7109747958793</v>
      </c>
      <c r="O143" s="312">
        <v>7935.8523040397558</v>
      </c>
      <c r="P143" s="312">
        <v>8173.9278731609493</v>
      </c>
      <c r="Q143" s="312">
        <v>8419.1457093557783</v>
      </c>
      <c r="R143" s="312">
        <v>8671.7200806364526</v>
      </c>
      <c r="S143" s="312">
        <v>8931.8716830555459</v>
      </c>
      <c r="T143" s="312">
        <v>9199.8278335472132</v>
      </c>
      <c r="U143" s="312">
        <v>9475.8226685536301</v>
      </c>
      <c r="V143" s="312">
        <v>9760.0973486102394</v>
      </c>
      <c r="W143" s="312">
        <v>10052.900269068547</v>
      </c>
      <c r="X143" s="312">
        <v>10354.487277140603</v>
      </c>
      <c r="Y143" s="312">
        <v>10665.121895454822</v>
      </c>
      <c r="Z143" s="312">
        <v>10985.075552318467</v>
      </c>
      <c r="AA143" s="312">
        <v>11314.627818888022</v>
      </c>
      <c r="AB143" s="312">
        <v>11654.066653454664</v>
      </c>
      <c r="AC143" s="312">
        <v>12003.688653058303</v>
      </c>
      <c r="AD143" s="312">
        <v>12363.799312650051</v>
      </c>
      <c r="AE143" s="312">
        <v>12734.713292029553</v>
      </c>
      <c r="AF143" s="312">
        <v>13116.75469079044</v>
      </c>
      <c r="AG143" s="312">
        <v>13510.257331514153</v>
      </c>
      <c r="AH143" s="312">
        <v>13915.565051459576</v>
      </c>
      <c r="AI143" s="312">
        <v>14333.032003003365</v>
      </c>
      <c r="AJ143" s="312">
        <v>14763.022963093466</v>
      </c>
      <c r="AK143" s="312">
        <v>15205.91365198627</v>
      </c>
      <c r="AL143" s="312">
        <v>15662.091061545858</v>
      </c>
    </row>
    <row r="144" spans="1:40" ht="3.75" customHeight="1">
      <c r="E144" s="67"/>
      <c r="F144" s="341"/>
      <c r="G144" s="342"/>
      <c r="H144" s="342"/>
      <c r="I144" s="342"/>
      <c r="J144" s="342"/>
      <c r="K144" s="342"/>
      <c r="L144" s="342"/>
      <c r="M144" s="342"/>
      <c r="N144" s="342"/>
      <c r="O144" s="342"/>
      <c r="P144" s="342"/>
      <c r="Q144" s="342"/>
      <c r="R144" s="342"/>
      <c r="S144" s="342"/>
      <c r="T144" s="342"/>
      <c r="U144" s="342"/>
      <c r="V144" s="342"/>
      <c r="W144" s="342"/>
      <c r="X144" s="342"/>
      <c r="Y144" s="342"/>
      <c r="Z144" s="342"/>
      <c r="AA144" s="342"/>
      <c r="AB144" s="342"/>
      <c r="AC144" s="342"/>
      <c r="AD144" s="342"/>
      <c r="AE144" s="342"/>
      <c r="AF144" s="342"/>
      <c r="AG144" s="342"/>
      <c r="AH144" s="342"/>
      <c r="AI144" s="342"/>
      <c r="AJ144" s="342"/>
      <c r="AK144" s="342"/>
      <c r="AL144" s="342"/>
    </row>
    <row r="145" spans="3:38" ht="14.25" thickBot="1">
      <c r="C145" s="51"/>
      <c r="E145" s="77" t="s">
        <v>81</v>
      </c>
      <c r="F145" s="346">
        <v>4699.6499999999996</v>
      </c>
      <c r="G145" s="347">
        <v>7232.2229999999972</v>
      </c>
      <c r="H145" s="347">
        <v>8403.4428599999956</v>
      </c>
      <c r="I145" s="347">
        <v>31146.737949306167</v>
      </c>
      <c r="J145" s="347">
        <v>73393.555436932787</v>
      </c>
      <c r="K145" s="347">
        <v>76130.769044847024</v>
      </c>
      <c r="L145" s="347">
        <v>77526.240193573758</v>
      </c>
      <c r="M145" s="347">
        <v>77610.872648761651</v>
      </c>
      <c r="N145" s="347">
        <v>78013.036856344697</v>
      </c>
      <c r="O145" s="347">
        <v>78416.568120197131</v>
      </c>
      <c r="P145" s="347">
        <v>78821.344557589546</v>
      </c>
      <c r="Q145" s="347">
        <v>79227.238162898415</v>
      </c>
      <c r="R145" s="347">
        <v>79634.114586859127</v>
      </c>
      <c r="S145" s="347">
        <v>79975.489196112263</v>
      </c>
      <c r="T145" s="347">
        <v>80251.757601131685</v>
      </c>
      <c r="U145" s="347">
        <v>80524.601076134815</v>
      </c>
      <c r="V145" s="347">
        <v>80793.738613282549</v>
      </c>
      <c r="W145" s="347">
        <v>81058.878077297195</v>
      </c>
      <c r="X145" s="347">
        <v>81319.715831149282</v>
      </c>
      <c r="Y145" s="347">
        <v>81575.936349913565</v>
      </c>
      <c r="Z145" s="347">
        <v>81827.211822430618</v>
      </c>
      <c r="AA145" s="347">
        <v>82073.201740399527</v>
      </c>
      <c r="AB145" s="347">
        <v>82313.552474515018</v>
      </c>
      <c r="AC145" s="347">
        <v>82547.896837251727</v>
      </c>
      <c r="AD145" s="347">
        <v>82775.853631885446</v>
      </c>
      <c r="AE145" s="347">
        <v>82997.027187328975</v>
      </c>
      <c r="AF145" s="347">
        <v>83211.006878347573</v>
      </c>
      <c r="AG145" s="347">
        <v>83417.366630705888</v>
      </c>
      <c r="AH145" s="347">
        <v>83615.664410783487</v>
      </c>
      <c r="AI145" s="347">
        <v>83779.923132332231</v>
      </c>
      <c r="AJ145" s="347">
        <v>83883.122157326725</v>
      </c>
      <c r="AK145" s="347">
        <v>83974.504539265545</v>
      </c>
      <c r="AL145" s="347">
        <v>84053.48915157195</v>
      </c>
    </row>
    <row r="146" spans="3:38" ht="3.75" customHeight="1">
      <c r="E146" s="61"/>
      <c r="F146" s="348"/>
      <c r="G146" s="349"/>
      <c r="H146" s="349"/>
      <c r="I146" s="349"/>
      <c r="J146" s="349"/>
      <c r="K146" s="349"/>
      <c r="L146" s="349"/>
      <c r="M146" s="349"/>
      <c r="N146" s="349"/>
      <c r="O146" s="349"/>
      <c r="P146" s="349"/>
      <c r="Q146" s="349"/>
      <c r="R146" s="349"/>
      <c r="S146" s="349"/>
      <c r="T146" s="349"/>
      <c r="U146" s="349"/>
      <c r="V146" s="349"/>
      <c r="W146" s="349"/>
      <c r="X146" s="349"/>
      <c r="Y146" s="349"/>
      <c r="Z146" s="349"/>
      <c r="AA146" s="349"/>
      <c r="AB146" s="349"/>
      <c r="AC146" s="349"/>
      <c r="AD146" s="349"/>
      <c r="AE146" s="349"/>
      <c r="AF146" s="349"/>
      <c r="AG146" s="349"/>
      <c r="AH146" s="349"/>
      <c r="AI146" s="349"/>
      <c r="AJ146" s="349"/>
      <c r="AK146" s="349"/>
      <c r="AL146" s="349"/>
    </row>
    <row r="147" spans="3:38">
      <c r="C147" s="412"/>
      <c r="E147" s="53" t="s">
        <v>209</v>
      </c>
      <c r="F147" s="313"/>
      <c r="G147" s="314">
        <v>0</v>
      </c>
      <c r="H147" s="314">
        <v>0</v>
      </c>
      <c r="I147" s="314">
        <v>7280</v>
      </c>
      <c r="J147" s="314">
        <v>7363.3046666666669</v>
      </c>
      <c r="K147" s="314">
        <v>7446.6093333333338</v>
      </c>
      <c r="L147" s="314">
        <v>7529.9139999999998</v>
      </c>
      <c r="M147" s="314">
        <v>7613.2186666666666</v>
      </c>
      <c r="N147" s="314">
        <v>7696.5233333333335</v>
      </c>
      <c r="O147" s="314">
        <v>7779.8279999999995</v>
      </c>
      <c r="P147" s="314">
        <v>7863.1326666666664</v>
      </c>
      <c r="Q147" s="314">
        <v>7946.4373333333333</v>
      </c>
      <c r="R147" s="314">
        <v>8029.7420000000002</v>
      </c>
      <c r="S147" s="314">
        <v>8113.0466666666671</v>
      </c>
      <c r="T147" s="314">
        <v>8196.351333333334</v>
      </c>
      <c r="U147" s="314">
        <v>8279.655999999999</v>
      </c>
      <c r="V147" s="314">
        <v>8362.9606666666659</v>
      </c>
      <c r="W147" s="314">
        <v>8446.2653333333328</v>
      </c>
      <c r="X147" s="314">
        <v>2300.0366666666669</v>
      </c>
      <c r="Y147" s="314">
        <v>2300.0366666666669</v>
      </c>
      <c r="Z147" s="314">
        <v>2300.0366666666669</v>
      </c>
      <c r="AA147" s="314">
        <v>2300.0366666666669</v>
      </c>
      <c r="AB147" s="314">
        <v>2300.0366666666669</v>
      </c>
      <c r="AC147" s="314">
        <v>2300.0366666666669</v>
      </c>
      <c r="AD147" s="314">
        <v>2300.0366666666669</v>
      </c>
      <c r="AE147" s="314">
        <v>2300.0366666666669</v>
      </c>
      <c r="AF147" s="314">
        <v>2300.0366666666669</v>
      </c>
      <c r="AG147" s="314">
        <v>2300.0366666666669</v>
      </c>
      <c r="AH147" s="314">
        <v>2300.0366666666669</v>
      </c>
      <c r="AI147" s="314">
        <v>2300.0366666666669</v>
      </c>
      <c r="AJ147" s="314">
        <v>2300.0366666666669</v>
      </c>
      <c r="AK147" s="314">
        <v>2300.0366666666669</v>
      </c>
      <c r="AL147" s="314">
        <v>2216.732</v>
      </c>
    </row>
    <row r="148" spans="3:38" ht="3.75" customHeight="1">
      <c r="E148" s="53"/>
      <c r="F148" s="313"/>
      <c r="G148" s="314"/>
      <c r="H148" s="314"/>
      <c r="I148" s="314"/>
      <c r="J148" s="314"/>
      <c r="K148" s="314"/>
      <c r="L148" s="314"/>
      <c r="M148" s="314"/>
      <c r="N148" s="314"/>
      <c r="O148" s="314"/>
      <c r="P148" s="314"/>
      <c r="Q148" s="314"/>
      <c r="R148" s="314"/>
      <c r="S148" s="314"/>
      <c r="T148" s="314"/>
      <c r="U148" s="314"/>
      <c r="V148" s="314"/>
      <c r="W148" s="314"/>
      <c r="X148" s="314"/>
      <c r="Y148" s="314"/>
      <c r="Z148" s="314"/>
      <c r="AA148" s="314"/>
      <c r="AB148" s="314"/>
      <c r="AC148" s="314"/>
      <c r="AD148" s="314"/>
      <c r="AE148" s="314"/>
      <c r="AF148" s="314"/>
      <c r="AG148" s="314"/>
      <c r="AH148" s="314"/>
      <c r="AI148" s="314"/>
      <c r="AJ148" s="314"/>
      <c r="AK148" s="314"/>
      <c r="AL148" s="314"/>
    </row>
    <row r="149" spans="3:38" ht="14.25" thickBot="1">
      <c r="C149" s="51"/>
      <c r="E149" s="77" t="s">
        <v>83</v>
      </c>
      <c r="F149" s="346">
        <v>4699.6499999999996</v>
      </c>
      <c r="G149" s="347">
        <v>7232.2229999999972</v>
      </c>
      <c r="H149" s="347">
        <v>8403.4428599999956</v>
      </c>
      <c r="I149" s="347">
        <v>23866.737949306167</v>
      </c>
      <c r="J149" s="347">
        <v>66030.250770266124</v>
      </c>
      <c r="K149" s="347">
        <v>68684.159711513697</v>
      </c>
      <c r="L149" s="347">
        <v>69996.326193573754</v>
      </c>
      <c r="M149" s="347">
        <v>69997.653982094984</v>
      </c>
      <c r="N149" s="347">
        <v>70316.513523011366</v>
      </c>
      <c r="O149" s="347">
        <v>70636.740120197137</v>
      </c>
      <c r="P149" s="347">
        <v>70958.211890922874</v>
      </c>
      <c r="Q149" s="347">
        <v>71280.80082956508</v>
      </c>
      <c r="R149" s="347">
        <v>71604.372586859128</v>
      </c>
      <c r="S149" s="347">
        <v>71862.442529445601</v>
      </c>
      <c r="T149" s="347">
        <v>72055.406267798346</v>
      </c>
      <c r="U149" s="347">
        <v>72244.945076134813</v>
      </c>
      <c r="V149" s="347">
        <v>72430.777946615883</v>
      </c>
      <c r="W149" s="347">
        <v>72612.612743963866</v>
      </c>
      <c r="X149" s="347">
        <v>79019.679164482615</v>
      </c>
      <c r="Y149" s="347">
        <v>79275.899683246898</v>
      </c>
      <c r="Z149" s="347">
        <v>79527.175155763951</v>
      </c>
      <c r="AA149" s="347">
        <v>79773.16507373286</v>
      </c>
      <c r="AB149" s="347">
        <v>80013.515807848351</v>
      </c>
      <c r="AC149" s="347">
        <v>80247.86017058506</v>
      </c>
      <c r="AD149" s="347">
        <v>80475.816965218779</v>
      </c>
      <c r="AE149" s="347">
        <v>80696.990520662308</v>
      </c>
      <c r="AF149" s="347">
        <v>80910.970211680906</v>
      </c>
      <c r="AG149" s="347">
        <v>81117.329964039222</v>
      </c>
      <c r="AH149" s="347">
        <v>81315.62774411682</v>
      </c>
      <c r="AI149" s="347">
        <v>81479.886465665564</v>
      </c>
      <c r="AJ149" s="347">
        <v>81583.085490660058</v>
      </c>
      <c r="AK149" s="347">
        <v>81674.467872598878</v>
      </c>
      <c r="AL149" s="347">
        <v>81836.757151571946</v>
      </c>
    </row>
    <row r="150" spans="3:38" ht="3.75" customHeight="1">
      <c r="E150" s="53"/>
      <c r="F150" s="313"/>
      <c r="G150" s="314"/>
      <c r="H150" s="314"/>
      <c r="I150" s="314"/>
      <c r="J150" s="314"/>
      <c r="K150" s="314"/>
      <c r="L150" s="314"/>
      <c r="M150" s="314"/>
      <c r="N150" s="314"/>
      <c r="O150" s="314"/>
      <c r="P150" s="314"/>
      <c r="Q150" s="314"/>
      <c r="R150" s="314"/>
      <c r="S150" s="314"/>
      <c r="T150" s="314"/>
      <c r="U150" s="314"/>
      <c r="V150" s="314"/>
      <c r="W150" s="314"/>
      <c r="X150" s="314"/>
      <c r="Y150" s="314"/>
      <c r="Z150" s="314"/>
      <c r="AA150" s="314"/>
      <c r="AB150" s="314"/>
      <c r="AC150" s="314"/>
      <c r="AD150" s="314"/>
      <c r="AE150" s="314"/>
      <c r="AF150" s="314"/>
      <c r="AG150" s="314"/>
      <c r="AH150" s="314"/>
      <c r="AI150" s="314"/>
      <c r="AJ150" s="314"/>
      <c r="AK150" s="314"/>
      <c r="AL150" s="314"/>
    </row>
    <row r="151" spans="3:38">
      <c r="C151" s="412"/>
      <c r="E151" s="53" t="s">
        <v>84</v>
      </c>
      <c r="F151" s="313">
        <v>0</v>
      </c>
      <c r="G151" s="314">
        <v>0</v>
      </c>
      <c r="H151" s="314">
        <v>0</v>
      </c>
      <c r="I151" s="314">
        <v>0</v>
      </c>
      <c r="J151" s="314">
        <v>14994.84</v>
      </c>
      <c r="K151" s="314">
        <v>14592.61481838138</v>
      </c>
      <c r="L151" s="314">
        <v>14142.122614968524</v>
      </c>
      <c r="M151" s="314">
        <v>13637.571347146131</v>
      </c>
      <c r="N151" s="314">
        <v>13072.473927185045</v>
      </c>
      <c r="O151" s="314">
        <v>12439.564816828633</v>
      </c>
      <c r="P151" s="314">
        <v>11730.706613229448</v>
      </c>
      <c r="Q151" s="314">
        <v>10936.785425198361</v>
      </c>
      <c r="R151" s="314">
        <v>10047.593694603545</v>
      </c>
      <c r="S151" s="314">
        <v>9051.6989563373536</v>
      </c>
      <c r="T151" s="314">
        <v>7936.296849479214</v>
      </c>
      <c r="U151" s="314">
        <v>6687.046489798101</v>
      </c>
      <c r="V151" s="314">
        <v>5287.8860869552527</v>
      </c>
      <c r="W151" s="314">
        <v>3720.8264357712637</v>
      </c>
      <c r="X151" s="314">
        <v>1965.7196264451961</v>
      </c>
      <c r="Y151" s="314">
        <v>0</v>
      </c>
      <c r="Z151" s="314">
        <v>0</v>
      </c>
      <c r="AA151" s="314">
        <v>0</v>
      </c>
      <c r="AB151" s="314">
        <v>0</v>
      </c>
      <c r="AC151" s="314">
        <v>0</v>
      </c>
      <c r="AD151" s="314">
        <v>0</v>
      </c>
      <c r="AE151" s="314">
        <v>0</v>
      </c>
      <c r="AF151" s="314">
        <v>0</v>
      </c>
      <c r="AG151" s="314">
        <v>0</v>
      </c>
      <c r="AH151" s="314">
        <v>0</v>
      </c>
      <c r="AI151" s="314">
        <v>0</v>
      </c>
      <c r="AJ151" s="314">
        <v>0</v>
      </c>
      <c r="AK151" s="314">
        <v>0</v>
      </c>
      <c r="AL151" s="314">
        <v>0</v>
      </c>
    </row>
    <row r="152" spans="3:38" ht="3.75" customHeight="1">
      <c r="E152" s="53"/>
      <c r="F152" s="313"/>
      <c r="G152" s="314"/>
      <c r="H152" s="314"/>
      <c r="I152" s="314"/>
      <c r="J152" s="314"/>
      <c r="K152" s="314"/>
      <c r="L152" s="314"/>
      <c r="M152" s="314"/>
      <c r="N152" s="314"/>
      <c r="O152" s="314"/>
      <c r="P152" s="314"/>
      <c r="Q152" s="314"/>
      <c r="R152" s="314"/>
      <c r="S152" s="314"/>
      <c r="T152" s="314"/>
      <c r="U152" s="314"/>
      <c r="V152" s="314"/>
      <c r="W152" s="314"/>
      <c r="X152" s="314"/>
      <c r="Y152" s="314"/>
      <c r="Z152" s="314"/>
      <c r="AA152" s="314"/>
      <c r="AB152" s="314"/>
      <c r="AC152" s="314"/>
      <c r="AD152" s="314"/>
      <c r="AE152" s="314"/>
      <c r="AF152" s="314"/>
      <c r="AG152" s="314"/>
      <c r="AH152" s="314"/>
      <c r="AI152" s="314"/>
      <c r="AJ152" s="314"/>
      <c r="AK152" s="314"/>
      <c r="AL152" s="314"/>
    </row>
    <row r="153" spans="3:38" ht="14.25" thickBot="1">
      <c r="C153" s="51"/>
      <c r="E153" s="77" t="s">
        <v>85</v>
      </c>
      <c r="F153" s="346">
        <v>4699.6499999999996</v>
      </c>
      <c r="G153" s="347">
        <v>7232.2229999999972</v>
      </c>
      <c r="H153" s="347">
        <v>8403.4428599999956</v>
      </c>
      <c r="I153" s="347">
        <v>23866.737949306167</v>
      </c>
      <c r="J153" s="347">
        <v>51035.410770266128</v>
      </c>
      <c r="K153" s="347">
        <v>54091.544893132319</v>
      </c>
      <c r="L153" s="347">
        <v>55854.203578605229</v>
      </c>
      <c r="M153" s="347">
        <v>56360.082634948849</v>
      </c>
      <c r="N153" s="347">
        <v>57244.039595826325</v>
      </c>
      <c r="O153" s="347">
        <v>58197.175303368502</v>
      </c>
      <c r="P153" s="347">
        <v>59227.505277693424</v>
      </c>
      <c r="Q153" s="347">
        <v>60344.015404366721</v>
      </c>
      <c r="R153" s="347">
        <v>61556.778892255585</v>
      </c>
      <c r="S153" s="347">
        <v>62810.743573108251</v>
      </c>
      <c r="T153" s="347">
        <v>64119.109418319131</v>
      </c>
      <c r="U153" s="347">
        <v>65557.898586336712</v>
      </c>
      <c r="V153" s="347">
        <v>67142.891859660624</v>
      </c>
      <c r="W153" s="347">
        <v>68891.786308192604</v>
      </c>
      <c r="X153" s="347">
        <v>77053.959538037423</v>
      </c>
      <c r="Y153" s="347">
        <v>79275.899683246898</v>
      </c>
      <c r="Z153" s="347">
        <v>79527.175155763951</v>
      </c>
      <c r="AA153" s="347">
        <v>79773.16507373286</v>
      </c>
      <c r="AB153" s="347">
        <v>80013.515807848351</v>
      </c>
      <c r="AC153" s="347">
        <v>80247.86017058506</v>
      </c>
      <c r="AD153" s="347">
        <v>80475.816965218779</v>
      </c>
      <c r="AE153" s="347">
        <v>80696.990520662308</v>
      </c>
      <c r="AF153" s="347">
        <v>80910.970211680906</v>
      </c>
      <c r="AG153" s="347">
        <v>81117.329964039222</v>
      </c>
      <c r="AH153" s="347">
        <v>81315.62774411682</v>
      </c>
      <c r="AI153" s="347">
        <v>81479.886465665564</v>
      </c>
      <c r="AJ153" s="347">
        <v>81583.085490660058</v>
      </c>
      <c r="AK153" s="347">
        <v>81674.467872598878</v>
      </c>
      <c r="AL153" s="347">
        <v>81836.757151571946</v>
      </c>
    </row>
    <row r="154" spans="3:38" ht="3.75" customHeight="1">
      <c r="E154" s="53"/>
      <c r="F154" s="313"/>
      <c r="G154" s="314"/>
      <c r="H154" s="314"/>
      <c r="I154" s="314"/>
      <c r="J154" s="314"/>
      <c r="K154" s="314"/>
      <c r="L154" s="314"/>
      <c r="M154" s="314"/>
      <c r="N154" s="314"/>
      <c r="O154" s="314"/>
      <c r="P154" s="314"/>
      <c r="Q154" s="314"/>
      <c r="R154" s="314"/>
      <c r="S154" s="314"/>
      <c r="T154" s="314"/>
      <c r="U154" s="314"/>
      <c r="V154" s="314"/>
      <c r="W154" s="314"/>
      <c r="X154" s="314"/>
      <c r="Y154" s="314"/>
      <c r="Z154" s="314"/>
      <c r="AA154" s="314"/>
      <c r="AB154" s="314"/>
      <c r="AC154" s="314"/>
      <c r="AD154" s="314"/>
      <c r="AE154" s="314"/>
      <c r="AF154" s="314"/>
      <c r="AG154" s="314"/>
      <c r="AH154" s="314"/>
      <c r="AI154" s="314"/>
      <c r="AJ154" s="314"/>
      <c r="AK154" s="314"/>
      <c r="AL154" s="314"/>
    </row>
    <row r="155" spans="3:38" outlineLevel="1">
      <c r="C155" s="412"/>
      <c r="E155" s="78" t="s">
        <v>232</v>
      </c>
      <c r="F155" s="313"/>
      <c r="G155" s="314"/>
      <c r="H155" s="314"/>
      <c r="I155" s="314">
        <v>5966.6844873265418</v>
      </c>
      <c r="J155" s="314">
        <v>12758.852692566532</v>
      </c>
      <c r="K155" s="314">
        <v>13522.88622328308</v>
      </c>
      <c r="L155" s="314">
        <v>13963.550894651307</v>
      </c>
      <c r="M155" s="314">
        <v>14090.020658737212</v>
      </c>
      <c r="N155" s="314">
        <v>14311.009898956581</v>
      </c>
      <c r="O155" s="314">
        <v>14549.293825842125</v>
      </c>
      <c r="P155" s="314">
        <v>14806.876319423356</v>
      </c>
      <c r="Q155" s="314">
        <v>15086.00385109168</v>
      </c>
      <c r="R155" s="314">
        <v>15389.194723063896</v>
      </c>
      <c r="S155" s="314">
        <v>15702.685893277063</v>
      </c>
      <c r="T155" s="314">
        <v>16029.777354579783</v>
      </c>
      <c r="U155" s="314">
        <v>16389.474646584178</v>
      </c>
      <c r="V155" s="314">
        <v>16785.722964915156</v>
      </c>
      <c r="W155" s="314">
        <v>17222.946577048151</v>
      </c>
      <c r="X155" s="314">
        <v>19263.489884509356</v>
      </c>
      <c r="Y155" s="314">
        <v>19818.974920811725</v>
      </c>
      <c r="Z155" s="314">
        <v>19881.793788940988</v>
      </c>
      <c r="AA155" s="314">
        <v>19943.291268433215</v>
      </c>
      <c r="AB155" s="314">
        <v>20003.378951962088</v>
      </c>
      <c r="AC155" s="314">
        <v>20061.965042646265</v>
      </c>
      <c r="AD155" s="314">
        <v>20118.954241304695</v>
      </c>
      <c r="AE155" s="314">
        <v>20174.247630165577</v>
      </c>
      <c r="AF155" s="314">
        <v>20227.742552920226</v>
      </c>
      <c r="AG155" s="314">
        <v>20279.332491009805</v>
      </c>
      <c r="AH155" s="314">
        <v>20328.906936029205</v>
      </c>
      <c r="AI155" s="314">
        <v>20369.971616416391</v>
      </c>
      <c r="AJ155" s="314">
        <v>20395.771372665014</v>
      </c>
      <c r="AK155" s="314">
        <v>20418.616968149719</v>
      </c>
      <c r="AL155" s="314">
        <v>20459.189287892987</v>
      </c>
    </row>
    <row r="156" spans="3:38" outlineLevel="1">
      <c r="C156" s="412"/>
      <c r="E156" s="78" t="s">
        <v>233</v>
      </c>
      <c r="F156" s="313"/>
      <c r="G156" s="314"/>
      <c r="H156" s="314"/>
      <c r="I156" s="314">
        <v>0</v>
      </c>
      <c r="J156" s="314">
        <v>0</v>
      </c>
      <c r="K156" s="314">
        <v>0</v>
      </c>
      <c r="L156" s="314">
        <v>0</v>
      </c>
      <c r="M156" s="314">
        <v>0</v>
      </c>
      <c r="N156" s="314">
        <v>0</v>
      </c>
      <c r="O156" s="314">
        <v>0</v>
      </c>
      <c r="P156" s="314">
        <v>0</v>
      </c>
      <c r="Q156" s="314">
        <v>0</v>
      </c>
      <c r="R156" s="314">
        <v>0</v>
      </c>
      <c r="S156" s="314">
        <v>0</v>
      </c>
      <c r="T156" s="314">
        <v>0</v>
      </c>
      <c r="U156" s="314">
        <v>0</v>
      </c>
      <c r="V156" s="314">
        <v>0</v>
      </c>
      <c r="W156" s="314">
        <v>0</v>
      </c>
      <c r="X156" s="314">
        <v>0</v>
      </c>
      <c r="Y156" s="314">
        <v>0</v>
      </c>
      <c r="Z156" s="314">
        <v>0</v>
      </c>
      <c r="AA156" s="314">
        <v>0</v>
      </c>
      <c r="AB156" s="314">
        <v>0</v>
      </c>
      <c r="AC156" s="314">
        <v>0</v>
      </c>
      <c r="AD156" s="314">
        <v>0</v>
      </c>
      <c r="AE156" s="314">
        <v>0</v>
      </c>
      <c r="AF156" s="314">
        <v>0</v>
      </c>
      <c r="AG156" s="314">
        <v>0</v>
      </c>
      <c r="AH156" s="314">
        <v>0</v>
      </c>
      <c r="AI156" s="314">
        <v>0</v>
      </c>
      <c r="AJ156" s="314">
        <v>0</v>
      </c>
      <c r="AK156" s="314">
        <v>0</v>
      </c>
      <c r="AL156" s="314">
        <v>0</v>
      </c>
    </row>
    <row r="157" spans="3:38" outlineLevel="1">
      <c r="C157" s="412"/>
      <c r="E157" s="78" t="s">
        <v>234</v>
      </c>
      <c r="F157" s="313"/>
      <c r="G157" s="314"/>
      <c r="H157" s="314"/>
      <c r="I157" s="314">
        <v>0</v>
      </c>
      <c r="J157" s="314">
        <v>0</v>
      </c>
      <c r="K157" s="314">
        <v>0</v>
      </c>
      <c r="L157" s="314">
        <v>0</v>
      </c>
      <c r="M157" s="314">
        <v>0</v>
      </c>
      <c r="N157" s="314">
        <v>0</v>
      </c>
      <c r="O157" s="314">
        <v>0</v>
      </c>
      <c r="P157" s="314">
        <v>0</v>
      </c>
      <c r="Q157" s="314">
        <v>0</v>
      </c>
      <c r="R157" s="314">
        <v>0</v>
      </c>
      <c r="S157" s="314">
        <v>0</v>
      </c>
      <c r="T157" s="314">
        <v>0</v>
      </c>
      <c r="U157" s="314">
        <v>0</v>
      </c>
      <c r="V157" s="314">
        <v>0</v>
      </c>
      <c r="W157" s="314">
        <v>0</v>
      </c>
      <c r="X157" s="314">
        <v>0</v>
      </c>
      <c r="Y157" s="314">
        <v>0</v>
      </c>
      <c r="Z157" s="314">
        <v>0</v>
      </c>
      <c r="AA157" s="314">
        <v>0</v>
      </c>
      <c r="AB157" s="314">
        <v>0</v>
      </c>
      <c r="AC157" s="314">
        <v>0</v>
      </c>
      <c r="AD157" s="314">
        <v>0</v>
      </c>
      <c r="AE157" s="314">
        <v>0</v>
      </c>
      <c r="AF157" s="314">
        <v>0</v>
      </c>
      <c r="AG157" s="314">
        <v>0</v>
      </c>
      <c r="AH157" s="314">
        <v>0</v>
      </c>
      <c r="AI157" s="314">
        <v>0</v>
      </c>
      <c r="AJ157" s="314">
        <v>0</v>
      </c>
      <c r="AK157" s="314">
        <v>0</v>
      </c>
      <c r="AL157" s="314">
        <v>0</v>
      </c>
    </row>
    <row r="158" spans="3:38" outlineLevel="1">
      <c r="C158" s="412"/>
      <c r="E158" s="78" t="s">
        <v>235</v>
      </c>
      <c r="F158" s="313"/>
      <c r="G158" s="314"/>
      <c r="H158" s="314"/>
      <c r="I158" s="314">
        <v>5966.6844873265418</v>
      </c>
      <c r="J158" s="314">
        <v>12758.852692566532</v>
      </c>
      <c r="K158" s="314">
        <v>13522.88622328308</v>
      </c>
      <c r="L158" s="314">
        <v>13963.550894651307</v>
      </c>
      <c r="M158" s="314">
        <v>14090.020658737212</v>
      </c>
      <c r="N158" s="314">
        <v>14311.009898956581</v>
      </c>
      <c r="O158" s="314">
        <v>14549.293825842125</v>
      </c>
      <c r="P158" s="314">
        <v>14806.876319423356</v>
      </c>
      <c r="Q158" s="314">
        <v>15086.00385109168</v>
      </c>
      <c r="R158" s="314">
        <v>15389.194723063896</v>
      </c>
      <c r="S158" s="314">
        <v>15702.685893277063</v>
      </c>
      <c r="T158" s="314">
        <v>16029.777354579783</v>
      </c>
      <c r="U158" s="314">
        <v>16389.474646584178</v>
      </c>
      <c r="V158" s="314">
        <v>16785.722964915156</v>
      </c>
      <c r="W158" s="314">
        <v>17222.946577048151</v>
      </c>
      <c r="X158" s="314">
        <v>19263.489884509356</v>
      </c>
      <c r="Y158" s="314">
        <v>19818.974920811725</v>
      </c>
      <c r="Z158" s="314">
        <v>19881.793788940988</v>
      </c>
      <c r="AA158" s="314">
        <v>19943.291268433215</v>
      </c>
      <c r="AB158" s="314">
        <v>20003.378951962088</v>
      </c>
      <c r="AC158" s="314">
        <v>20061.965042646265</v>
      </c>
      <c r="AD158" s="314">
        <v>20118.954241304695</v>
      </c>
      <c r="AE158" s="314">
        <v>20174.247630165577</v>
      </c>
      <c r="AF158" s="314">
        <v>20227.742552920226</v>
      </c>
      <c r="AG158" s="314">
        <v>20279.332491009805</v>
      </c>
      <c r="AH158" s="314">
        <v>20328.906936029205</v>
      </c>
      <c r="AI158" s="314">
        <v>20369.971616416391</v>
      </c>
      <c r="AJ158" s="314">
        <v>20395.771372665014</v>
      </c>
      <c r="AK158" s="314">
        <v>20418.616968149719</v>
      </c>
      <c r="AL158" s="314">
        <v>20459.189287892987</v>
      </c>
    </row>
    <row r="159" spans="3:38">
      <c r="C159" s="412"/>
      <c r="E159" s="53" t="s">
        <v>236</v>
      </c>
      <c r="F159" s="313"/>
      <c r="G159" s="314"/>
      <c r="H159" s="314"/>
      <c r="I159" s="314">
        <v>5966.6844873265418</v>
      </c>
      <c r="J159" s="314">
        <v>12758.852692566532</v>
      </c>
      <c r="K159" s="314">
        <v>13522.88622328308</v>
      </c>
      <c r="L159" s="314">
        <v>13963.550894651307</v>
      </c>
      <c r="M159" s="314">
        <v>14090.020658737212</v>
      </c>
      <c r="N159" s="314">
        <v>14311.009898956581</v>
      </c>
      <c r="O159" s="314">
        <v>14549.293825842125</v>
      </c>
      <c r="P159" s="314">
        <v>14806.876319423356</v>
      </c>
      <c r="Q159" s="314">
        <v>15086.00385109168</v>
      </c>
      <c r="R159" s="314">
        <v>15389.194723063896</v>
      </c>
      <c r="S159" s="314">
        <v>15702.685893277063</v>
      </c>
      <c r="T159" s="314">
        <v>16029.777354579783</v>
      </c>
      <c r="U159" s="314">
        <v>16389.474646584178</v>
      </c>
      <c r="V159" s="314">
        <v>16785.722964915156</v>
      </c>
      <c r="W159" s="314">
        <v>17222.946577048151</v>
      </c>
      <c r="X159" s="314">
        <v>19263.489884509356</v>
      </c>
      <c r="Y159" s="314">
        <v>19818.974920811725</v>
      </c>
      <c r="Z159" s="314">
        <v>19881.793788940988</v>
      </c>
      <c r="AA159" s="314">
        <v>19943.291268433215</v>
      </c>
      <c r="AB159" s="314">
        <v>20003.378951962088</v>
      </c>
      <c r="AC159" s="314">
        <v>20061.965042646265</v>
      </c>
      <c r="AD159" s="314">
        <v>20118.954241304695</v>
      </c>
      <c r="AE159" s="314">
        <v>20174.247630165577</v>
      </c>
      <c r="AF159" s="314">
        <v>20227.742552920226</v>
      </c>
      <c r="AG159" s="314">
        <v>20279.332491009805</v>
      </c>
      <c r="AH159" s="314">
        <v>20328.906936029205</v>
      </c>
      <c r="AI159" s="314">
        <v>20369.971616416391</v>
      </c>
      <c r="AJ159" s="314">
        <v>20395.771372665014</v>
      </c>
      <c r="AK159" s="314">
        <v>20418.616968149719</v>
      </c>
      <c r="AL159" s="314">
        <v>20459.189287892987</v>
      </c>
    </row>
    <row r="160" spans="3:38" ht="3.75" customHeight="1">
      <c r="E160" s="53"/>
      <c r="F160" s="313"/>
      <c r="G160" s="314"/>
      <c r="H160" s="314"/>
      <c r="I160" s="314"/>
      <c r="J160" s="314"/>
      <c r="K160" s="314"/>
      <c r="L160" s="314"/>
      <c r="M160" s="314"/>
      <c r="N160" s="314"/>
      <c r="O160" s="314"/>
      <c r="P160" s="314"/>
      <c r="Q160" s="314"/>
      <c r="R160" s="314"/>
      <c r="S160" s="314"/>
      <c r="T160" s="314"/>
      <c r="U160" s="314"/>
      <c r="V160" s="314"/>
      <c r="W160" s="314"/>
      <c r="X160" s="314"/>
      <c r="Y160" s="314"/>
      <c r="Z160" s="314"/>
      <c r="AA160" s="314"/>
      <c r="AB160" s="314"/>
      <c r="AC160" s="314"/>
      <c r="AD160" s="314"/>
      <c r="AE160" s="314"/>
      <c r="AF160" s="314"/>
      <c r="AG160" s="314"/>
      <c r="AH160" s="314"/>
      <c r="AI160" s="314"/>
      <c r="AJ160" s="314"/>
      <c r="AK160" s="314"/>
      <c r="AL160" s="314"/>
    </row>
    <row r="161" spans="1:40" ht="14.25" thickBot="1">
      <c r="C161" s="51"/>
      <c r="E161" s="48" t="s">
        <v>237</v>
      </c>
      <c r="F161" s="350">
        <v>4699.6499999999996</v>
      </c>
      <c r="G161" s="351">
        <v>7232.2229999999972</v>
      </c>
      <c r="H161" s="351">
        <v>8403.4428599999956</v>
      </c>
      <c r="I161" s="351">
        <v>17900.053461979624</v>
      </c>
      <c r="J161" s="351">
        <v>38276.558077699592</v>
      </c>
      <c r="K161" s="351">
        <v>40568.658669849239</v>
      </c>
      <c r="L161" s="351">
        <v>41890.652683953922</v>
      </c>
      <c r="M161" s="351">
        <v>42270.06197621164</v>
      </c>
      <c r="N161" s="351">
        <v>42933.029696869744</v>
      </c>
      <c r="O161" s="351">
        <v>43647.881477526375</v>
      </c>
      <c r="P161" s="351">
        <v>44420.62895827007</v>
      </c>
      <c r="Q161" s="351">
        <v>45258.011553275042</v>
      </c>
      <c r="R161" s="351">
        <v>46167.584169191687</v>
      </c>
      <c r="S161" s="351">
        <v>47108.057679831189</v>
      </c>
      <c r="T161" s="351">
        <v>48089.332063739348</v>
      </c>
      <c r="U161" s="351">
        <v>49168.423939752538</v>
      </c>
      <c r="V161" s="351">
        <v>50357.168894745468</v>
      </c>
      <c r="W161" s="351">
        <v>51668.839731144457</v>
      </c>
      <c r="X161" s="351">
        <v>57790.469653528067</v>
      </c>
      <c r="Y161" s="351">
        <v>59456.92476243517</v>
      </c>
      <c r="Z161" s="351">
        <v>59645.381366822963</v>
      </c>
      <c r="AA161" s="351">
        <v>59829.873805299649</v>
      </c>
      <c r="AB161" s="351">
        <v>60010.13685588626</v>
      </c>
      <c r="AC161" s="351">
        <v>60185.895127938798</v>
      </c>
      <c r="AD161" s="351">
        <v>60356.862723914084</v>
      </c>
      <c r="AE161" s="351">
        <v>60522.742890496731</v>
      </c>
      <c r="AF161" s="351">
        <v>60683.227658760676</v>
      </c>
      <c r="AG161" s="351">
        <v>60837.99747302942</v>
      </c>
      <c r="AH161" s="351">
        <v>60986.720808087615</v>
      </c>
      <c r="AI161" s="351">
        <v>61109.914849249173</v>
      </c>
      <c r="AJ161" s="351">
        <v>61187.314117995047</v>
      </c>
      <c r="AK161" s="351">
        <v>61255.850904449158</v>
      </c>
      <c r="AL161" s="351">
        <v>61377.56786367896</v>
      </c>
    </row>
    <row r="162" spans="1:40" ht="3.75" customHeight="1">
      <c r="E162" s="79"/>
      <c r="F162" s="352"/>
      <c r="G162" s="353"/>
      <c r="H162" s="353"/>
      <c r="I162" s="353"/>
      <c r="J162" s="353"/>
      <c r="K162" s="353"/>
      <c r="L162" s="353"/>
      <c r="M162" s="353"/>
      <c r="N162" s="353"/>
      <c r="O162" s="353"/>
      <c r="P162" s="353"/>
      <c r="Q162" s="353"/>
      <c r="R162" s="353"/>
      <c r="S162" s="353"/>
      <c r="T162" s="353"/>
      <c r="U162" s="353"/>
      <c r="V162" s="353"/>
      <c r="W162" s="353"/>
      <c r="X162" s="353"/>
      <c r="Y162" s="353"/>
      <c r="Z162" s="353"/>
      <c r="AA162" s="353"/>
      <c r="AB162" s="353"/>
      <c r="AC162" s="353"/>
      <c r="AD162" s="353"/>
      <c r="AE162" s="353"/>
      <c r="AF162" s="353"/>
      <c r="AG162" s="353"/>
      <c r="AH162" s="353"/>
      <c r="AI162" s="353"/>
      <c r="AJ162" s="353"/>
      <c r="AK162" s="353"/>
      <c r="AL162" s="353"/>
    </row>
    <row r="163" spans="1:40" s="60" customFormat="1">
      <c r="A163" s="59"/>
      <c r="B163" s="18"/>
      <c r="C163" s="418"/>
      <c r="E163" s="248" t="s">
        <v>413</v>
      </c>
      <c r="F163" s="354">
        <v>4478.7732876712316</v>
      </c>
      <c r="G163" s="355">
        <v>6144.4824520547927</v>
      </c>
      <c r="H163" s="355">
        <v>7622.0670873972558</v>
      </c>
      <c r="I163" s="355">
        <v>25209.544279873149</v>
      </c>
      <c r="J163" s="355">
        <v>43961.676385452491</v>
      </c>
      <c r="K163" s="355">
        <v>47798.731244063783</v>
      </c>
      <c r="L163" s="355">
        <v>49314.563318014298</v>
      </c>
      <c r="M163" s="355">
        <v>49885.278230316704</v>
      </c>
      <c r="N163" s="355">
        <v>50605.720727833977</v>
      </c>
      <c r="O163" s="355">
        <v>51404.041483069079</v>
      </c>
      <c r="P163" s="355">
        <v>52260.27625621084</v>
      </c>
      <c r="Q163" s="355">
        <v>53181.165213686887</v>
      </c>
      <c r="R163" s="355">
        <v>54174.264040014663</v>
      </c>
      <c r="S163" s="355">
        <v>55203.7373211792</v>
      </c>
      <c r="T163" s="355">
        <v>56273.988301474848</v>
      </c>
      <c r="U163" s="355">
        <v>57436.996702149809</v>
      </c>
      <c r="V163" s="355">
        <v>58709.691189046156</v>
      </c>
      <c r="W163" s="355">
        <v>60105.345776495415</v>
      </c>
      <c r="X163" s="355">
        <v>60081.461587333135</v>
      </c>
      <c r="Y163" s="355">
        <v>61748.668014613577</v>
      </c>
      <c r="Z163" s="355">
        <v>61937.914035345639</v>
      </c>
      <c r="AA163" s="355">
        <v>62123.235366375833</v>
      </c>
      <c r="AB163" s="355">
        <v>62304.368208840693</v>
      </c>
      <c r="AC163" s="355">
        <v>62481.038641487532</v>
      </c>
      <c r="AD163" s="355">
        <v>62652.962283881752</v>
      </c>
      <c r="AE163" s="355">
        <v>62819.843949019254</v>
      </c>
      <c r="AF163" s="355">
        <v>62981.377285018731</v>
      </c>
      <c r="AG163" s="355">
        <v>63137.244405559381</v>
      </c>
      <c r="AH163" s="355">
        <v>63287.115508718271</v>
      </c>
      <c r="AI163" s="355">
        <v>63413.606975167058</v>
      </c>
      <c r="AJ163" s="355">
        <v>63496.539534391894</v>
      </c>
      <c r="AK163" s="355">
        <v>63566.577677623296</v>
      </c>
      <c r="AL163" s="355">
        <v>63606.554994567181</v>
      </c>
      <c r="AN163" s="59"/>
    </row>
    <row r="164" spans="1:40">
      <c r="C164" s="417"/>
      <c r="E164" s="249" t="s">
        <v>237</v>
      </c>
      <c r="F164" s="356">
        <v>4699.6499999999996</v>
      </c>
      <c r="G164" s="357">
        <v>7232.2229999999972</v>
      </c>
      <c r="H164" s="357">
        <v>8403.4428599999956</v>
      </c>
      <c r="I164" s="357">
        <v>17900.053461979624</v>
      </c>
      <c r="J164" s="357">
        <v>38276.558077699592</v>
      </c>
      <c r="K164" s="357">
        <v>40568.658669849239</v>
      </c>
      <c r="L164" s="357">
        <v>41890.652683953922</v>
      </c>
      <c r="M164" s="357">
        <v>42270.06197621164</v>
      </c>
      <c r="N164" s="357">
        <v>42933.029696869744</v>
      </c>
      <c r="O164" s="357">
        <v>43647.881477526375</v>
      </c>
      <c r="P164" s="357">
        <v>44420.62895827007</v>
      </c>
      <c r="Q164" s="357">
        <v>45258.011553275042</v>
      </c>
      <c r="R164" s="357">
        <v>46167.584169191687</v>
      </c>
      <c r="S164" s="357">
        <v>47108.057679831189</v>
      </c>
      <c r="T164" s="357">
        <v>48089.332063739348</v>
      </c>
      <c r="U164" s="357">
        <v>49168.423939752538</v>
      </c>
      <c r="V164" s="357">
        <v>50357.168894745468</v>
      </c>
      <c r="W164" s="357">
        <v>51668.839731144457</v>
      </c>
      <c r="X164" s="357">
        <v>57790.469653528067</v>
      </c>
      <c r="Y164" s="357">
        <v>59456.92476243517</v>
      </c>
      <c r="Z164" s="357">
        <v>59645.381366822963</v>
      </c>
      <c r="AA164" s="357">
        <v>59829.873805299649</v>
      </c>
      <c r="AB164" s="357">
        <v>60010.13685588626</v>
      </c>
      <c r="AC164" s="357">
        <v>60185.895127938798</v>
      </c>
      <c r="AD164" s="357">
        <v>60356.862723914084</v>
      </c>
      <c r="AE164" s="357">
        <v>60522.742890496731</v>
      </c>
      <c r="AF164" s="357">
        <v>60683.227658760676</v>
      </c>
      <c r="AG164" s="357">
        <v>60837.99747302942</v>
      </c>
      <c r="AH164" s="357">
        <v>60986.720808087615</v>
      </c>
      <c r="AI164" s="357">
        <v>61109.914849249173</v>
      </c>
      <c r="AJ164" s="357">
        <v>61187.314117995047</v>
      </c>
      <c r="AK164" s="357">
        <v>61255.850904449158</v>
      </c>
      <c r="AL164" s="357">
        <v>61377.56786367896</v>
      </c>
    </row>
    <row r="165" spans="1:40">
      <c r="C165" s="417"/>
      <c r="E165" s="249" t="s">
        <v>82</v>
      </c>
      <c r="F165" s="356">
        <v>0</v>
      </c>
      <c r="G165" s="357">
        <v>0</v>
      </c>
      <c r="H165" s="357">
        <v>0</v>
      </c>
      <c r="I165" s="357">
        <v>7280</v>
      </c>
      <c r="J165" s="357">
        <v>7363.3046666666669</v>
      </c>
      <c r="K165" s="357">
        <v>7446.6093333333338</v>
      </c>
      <c r="L165" s="357">
        <v>7529.9139999999998</v>
      </c>
      <c r="M165" s="357">
        <v>7613.2186666666666</v>
      </c>
      <c r="N165" s="357">
        <v>7696.5233333333335</v>
      </c>
      <c r="O165" s="357">
        <v>7779.8279999999995</v>
      </c>
      <c r="P165" s="357">
        <v>7863.1326666666664</v>
      </c>
      <c r="Q165" s="357">
        <v>7946.4373333333333</v>
      </c>
      <c r="R165" s="357">
        <v>8029.7420000000002</v>
      </c>
      <c r="S165" s="357">
        <v>8113.0466666666671</v>
      </c>
      <c r="T165" s="357">
        <v>8196.351333333334</v>
      </c>
      <c r="U165" s="357">
        <v>8279.655999999999</v>
      </c>
      <c r="V165" s="357">
        <v>8362.9606666666659</v>
      </c>
      <c r="W165" s="357">
        <v>8446.2653333333328</v>
      </c>
      <c r="X165" s="357">
        <v>2300.0366666666669</v>
      </c>
      <c r="Y165" s="357">
        <v>2300.0366666666669</v>
      </c>
      <c r="Z165" s="357">
        <v>2300.0366666666669</v>
      </c>
      <c r="AA165" s="357">
        <v>2300.0366666666669</v>
      </c>
      <c r="AB165" s="357">
        <v>2300.0366666666669</v>
      </c>
      <c r="AC165" s="357">
        <v>2300.0366666666669</v>
      </c>
      <c r="AD165" s="357">
        <v>2300.0366666666669</v>
      </c>
      <c r="AE165" s="357">
        <v>2300.0366666666669</v>
      </c>
      <c r="AF165" s="357">
        <v>2300.0366666666669</v>
      </c>
      <c r="AG165" s="357">
        <v>2300.0366666666669</v>
      </c>
      <c r="AH165" s="357">
        <v>2300.0366666666669</v>
      </c>
      <c r="AI165" s="357">
        <v>2300.0366666666669</v>
      </c>
      <c r="AJ165" s="357">
        <v>2300.0366666666669</v>
      </c>
      <c r="AK165" s="357">
        <v>2300.0366666666669</v>
      </c>
      <c r="AL165" s="357">
        <v>2216.732</v>
      </c>
    </row>
    <row r="166" spans="1:40">
      <c r="C166" s="417"/>
      <c r="E166" s="249" t="s">
        <v>385</v>
      </c>
      <c r="F166" s="356">
        <v>-417.67123287671228</v>
      </c>
      <c r="G166" s="357">
        <v>-675.97315068493117</v>
      </c>
      <c r="H166" s="357">
        <v>-357.25535342465719</v>
      </c>
      <c r="I166" s="357">
        <v>-3709.9328275293692</v>
      </c>
      <c r="J166" s="357">
        <v>-6437.8355477919613</v>
      </c>
      <c r="K166" s="357">
        <v>-409.30880834451091</v>
      </c>
      <c r="L166" s="357">
        <v>-268.70288389627422</v>
      </c>
      <c r="M166" s="357">
        <v>39.80335862895663</v>
      </c>
      <c r="N166" s="357">
        <v>-35.501565531010783</v>
      </c>
      <c r="O166" s="357">
        <v>-36.566612496937523</v>
      </c>
      <c r="P166" s="357">
        <v>-37.663610871846686</v>
      </c>
      <c r="Q166" s="357">
        <v>-38.793519198001377</v>
      </c>
      <c r="R166" s="357">
        <v>-39.957324773942673</v>
      </c>
      <c r="S166" s="357">
        <v>-25.573339584552741</v>
      </c>
      <c r="T166" s="357">
        <v>-11.352934388794893</v>
      </c>
      <c r="U166" s="357">
        <v>-11.693522420449881</v>
      </c>
      <c r="V166" s="357">
        <v>-12.044328093068543</v>
      </c>
      <c r="W166" s="357">
        <v>-12.40565793586029</v>
      </c>
      <c r="X166" s="357">
        <v>-12.777827673933643</v>
      </c>
      <c r="Y166" s="357">
        <v>-13.161162504155072</v>
      </c>
      <c r="Z166" s="357">
        <v>-13.55599737927696</v>
      </c>
      <c r="AA166" s="357">
        <v>-13.962677300656651</v>
      </c>
      <c r="AB166" s="357">
        <v>-14.381557619675732</v>
      </c>
      <c r="AC166" s="357">
        <v>-14.813004348266986</v>
      </c>
      <c r="AD166" s="357">
        <v>-15.25739447871274</v>
      </c>
      <c r="AE166" s="357">
        <v>-15.715116313076578</v>
      </c>
      <c r="AF166" s="357">
        <v>-16.186569802466693</v>
      </c>
      <c r="AG166" s="357">
        <v>-16.672166896543786</v>
      </c>
      <c r="AH166" s="357">
        <v>-17.172331903439044</v>
      </c>
      <c r="AI166" s="357">
        <v>-11.695143461407497</v>
      </c>
      <c r="AJ166" s="357">
        <v>0</v>
      </c>
      <c r="AK166" s="357">
        <v>0</v>
      </c>
      <c r="AL166" s="357">
        <v>0</v>
      </c>
    </row>
    <row r="167" spans="1:40">
      <c r="C167" s="417"/>
      <c r="E167" s="249" t="s">
        <v>386</v>
      </c>
      <c r="F167" s="356">
        <v>614.46575342465758</v>
      </c>
      <c r="G167" s="357">
        <v>18.433972602739686</v>
      </c>
      <c r="H167" s="357">
        <v>18.986991780821882</v>
      </c>
      <c r="I167" s="357">
        <v>8204.325943434389</v>
      </c>
      <c r="J167" s="357">
        <v>4448.2415766380836</v>
      </c>
      <c r="K167" s="357">
        <v>276.49852113008274</v>
      </c>
      <c r="L167" s="357">
        <v>231.00993764522536</v>
      </c>
      <c r="M167" s="357">
        <v>-70.13917625427348</v>
      </c>
      <c r="N167" s="357">
        <v>3.6704596903837228</v>
      </c>
      <c r="O167" s="357">
        <v>5.099488955380366</v>
      </c>
      <c r="P167" s="357">
        <v>6.5914719717220578</v>
      </c>
      <c r="Q167" s="357">
        <v>8.1486014301572141</v>
      </c>
      <c r="R167" s="357">
        <v>9.7731403712368774</v>
      </c>
      <c r="S167" s="357">
        <v>-3.7272712160229275</v>
      </c>
      <c r="T167" s="357">
        <v>-17.031086706878341</v>
      </c>
      <c r="U167" s="357">
        <v>-16.097953013544611</v>
      </c>
      <c r="V167" s="357">
        <v>-15.114848056693518</v>
      </c>
      <c r="W167" s="357">
        <v>-14.079940166509914</v>
      </c>
      <c r="X167" s="357">
        <v>-12.991337731136809</v>
      </c>
      <c r="Y167" s="357">
        <v>-11.847087324296808</v>
      </c>
      <c r="Z167" s="357">
        <v>-10.645171775648123</v>
      </c>
      <c r="AA167" s="357">
        <v>-9.3835081821689528</v>
      </c>
      <c r="AB167" s="357">
        <v>-8.0599458586966648</v>
      </c>
      <c r="AC167" s="357">
        <v>-6.6722642259646818</v>
      </c>
      <c r="AD167" s="357">
        <v>-5.2181706340288656</v>
      </c>
      <c r="AE167" s="357">
        <v>-3.6952981193135201</v>
      </c>
      <c r="AF167" s="357">
        <v>-2.1012030931178742</v>
      </c>
      <c r="AG167" s="357">
        <v>-0.43336295963308658</v>
      </c>
      <c r="AH167" s="357">
        <v>1.3108263387384795</v>
      </c>
      <c r="AI167" s="357">
        <v>-2.7083600673195178</v>
      </c>
      <c r="AJ167" s="357">
        <v>-12.723167465073857</v>
      </c>
      <c r="AK167" s="357">
        <v>-11.266321060949849</v>
      </c>
      <c r="AL167" s="357">
        <v>-9.7378289144871815</v>
      </c>
    </row>
    <row r="168" spans="1:40">
      <c r="C168" s="417"/>
      <c r="E168" s="249" t="s">
        <v>387</v>
      </c>
      <c r="F168" s="356">
        <v>-417.67123287671228</v>
      </c>
      <c r="G168" s="357">
        <v>-430.20136986301372</v>
      </c>
      <c r="H168" s="357">
        <v>-443.10741095890415</v>
      </c>
      <c r="I168" s="357">
        <v>-4464.9022980114933</v>
      </c>
      <c r="J168" s="357">
        <v>311.40761224012022</v>
      </c>
      <c r="K168" s="357">
        <v>-83.726471904359641</v>
      </c>
      <c r="L168" s="357">
        <v>-68.310419688574257</v>
      </c>
      <c r="M168" s="357">
        <v>32.333405063722239</v>
      </c>
      <c r="N168" s="357">
        <v>7.9988034715388494</v>
      </c>
      <c r="O168" s="357">
        <v>7.7991290842564922</v>
      </c>
      <c r="P168" s="357">
        <v>7.5867701742236022</v>
      </c>
      <c r="Q168" s="357">
        <v>7.3612448463554756</v>
      </c>
      <c r="R168" s="357">
        <v>7.1220552256882002</v>
      </c>
      <c r="S168" s="357">
        <v>11.933585481925547</v>
      </c>
      <c r="T168" s="357">
        <v>16.68892549784141</v>
      </c>
      <c r="U168" s="357">
        <v>16.708237831261613</v>
      </c>
      <c r="V168" s="357">
        <v>16.720803783781776</v>
      </c>
      <c r="W168" s="357">
        <v>16.726310119999653</v>
      </c>
      <c r="X168" s="357">
        <v>16.724432543476723</v>
      </c>
      <c r="Y168" s="357">
        <v>16.714835340189893</v>
      </c>
      <c r="Z168" s="357">
        <v>16.697171010938291</v>
      </c>
      <c r="AA168" s="357">
        <v>16.671079892347279</v>
      </c>
      <c r="AB168" s="357">
        <v>16.636189766139978</v>
      </c>
      <c r="AC168" s="357">
        <v>16.592115456293413</v>
      </c>
      <c r="AD168" s="357">
        <v>16.538458413743683</v>
      </c>
      <c r="AE168" s="357">
        <v>16.474806288244508</v>
      </c>
      <c r="AF168" s="357">
        <v>16.400732486965353</v>
      </c>
      <c r="AG168" s="357">
        <v>16.315795719481685</v>
      </c>
      <c r="AH168" s="357">
        <v>16.219539528680798</v>
      </c>
      <c r="AI168" s="357">
        <v>18.058962779945887</v>
      </c>
      <c r="AJ168" s="357">
        <v>21.911917195258411</v>
      </c>
      <c r="AK168" s="357">
        <v>21.956427568422441</v>
      </c>
      <c r="AL168" s="357">
        <v>21.992959802711994</v>
      </c>
    </row>
    <row r="169" spans="1:40">
      <c r="C169" s="417"/>
      <c r="E169" s="250"/>
      <c r="F169" s="356"/>
      <c r="G169" s="357"/>
      <c r="H169" s="357"/>
      <c r="I169" s="357"/>
      <c r="J169" s="357"/>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row>
    <row r="170" spans="1:40" s="60" customFormat="1">
      <c r="A170" s="59"/>
      <c r="B170" s="18"/>
      <c r="C170" s="418"/>
      <c r="E170" s="248" t="s">
        <v>414</v>
      </c>
      <c r="F170" s="354">
        <v>0</v>
      </c>
      <c r="G170" s="355">
        <v>-48733.23</v>
      </c>
      <c r="H170" s="355">
        <v>-51232.37</v>
      </c>
      <c r="I170" s="355">
        <v>-24991.399999999998</v>
      </c>
      <c r="J170" s="355">
        <v>-1249.57</v>
      </c>
      <c r="K170" s="355">
        <v>-1249.57</v>
      </c>
      <c r="L170" s="355">
        <v>-1249.57</v>
      </c>
      <c r="M170" s="355">
        <v>-1249.57</v>
      </c>
      <c r="N170" s="355">
        <v>-1249.57</v>
      </c>
      <c r="O170" s="355">
        <v>-1249.57</v>
      </c>
      <c r="P170" s="355">
        <v>-1249.57</v>
      </c>
      <c r="Q170" s="355">
        <v>-1249.57</v>
      </c>
      <c r="R170" s="355">
        <v>-1249.57</v>
      </c>
      <c r="S170" s="355">
        <v>-1249.57</v>
      </c>
      <c r="T170" s="355">
        <v>-1249.57</v>
      </c>
      <c r="U170" s="355">
        <v>-1249.57</v>
      </c>
      <c r="V170" s="355">
        <v>-1249.57</v>
      </c>
      <c r="W170" s="355">
        <v>-1249.57</v>
      </c>
      <c r="X170" s="355">
        <v>-1249.57</v>
      </c>
      <c r="Y170" s="355">
        <v>-1249.57</v>
      </c>
      <c r="Z170" s="355">
        <v>-1249.57</v>
      </c>
      <c r="AA170" s="355">
        <v>-1249.57</v>
      </c>
      <c r="AB170" s="355">
        <v>-1249.57</v>
      </c>
      <c r="AC170" s="355">
        <v>-1249.57</v>
      </c>
      <c r="AD170" s="355">
        <v>-1249.57</v>
      </c>
      <c r="AE170" s="355">
        <v>-1249.57</v>
      </c>
      <c r="AF170" s="355">
        <v>-1249.57</v>
      </c>
      <c r="AG170" s="355">
        <v>-1249.57</v>
      </c>
      <c r="AH170" s="355">
        <v>-1249.57</v>
      </c>
      <c r="AI170" s="355">
        <v>-1249.57</v>
      </c>
      <c r="AJ170" s="355">
        <v>-1249.57</v>
      </c>
      <c r="AK170" s="355">
        <v>-1249.57</v>
      </c>
      <c r="AL170" s="355">
        <v>0</v>
      </c>
      <c r="AN170" s="59"/>
    </row>
    <row r="171" spans="1:40">
      <c r="C171" s="417"/>
      <c r="E171" s="250"/>
      <c r="F171" s="356"/>
      <c r="G171" s="357"/>
      <c r="H171" s="357"/>
      <c r="I171" s="357"/>
      <c r="J171" s="357"/>
      <c r="K171" s="357"/>
      <c r="L171" s="357"/>
      <c r="M171" s="357"/>
      <c r="N171" s="357"/>
      <c r="O171" s="357"/>
      <c r="P171" s="357"/>
      <c r="Q171" s="357"/>
      <c r="R171" s="357"/>
      <c r="S171" s="357"/>
      <c r="T171" s="357"/>
      <c r="U171" s="357"/>
      <c r="V171" s="357"/>
      <c r="W171" s="357"/>
      <c r="X171" s="357"/>
      <c r="Y171" s="357"/>
      <c r="Z171" s="357"/>
      <c r="AA171" s="357"/>
      <c r="AB171" s="357"/>
      <c r="AC171" s="357"/>
      <c r="AD171" s="357"/>
      <c r="AE171" s="357"/>
      <c r="AF171" s="357"/>
      <c r="AG171" s="357"/>
      <c r="AH171" s="357"/>
      <c r="AI171" s="357"/>
      <c r="AJ171" s="357"/>
      <c r="AK171" s="357"/>
      <c r="AL171" s="357"/>
    </row>
    <row r="172" spans="1:40" s="60" customFormat="1">
      <c r="A172" s="59"/>
      <c r="B172" s="18"/>
      <c r="C172" s="418"/>
      <c r="E172" s="248" t="s">
        <v>392</v>
      </c>
      <c r="F172" s="354">
        <v>0</v>
      </c>
      <c r="G172" s="355">
        <v>48733.23</v>
      </c>
      <c r="H172" s="355">
        <v>51232.37</v>
      </c>
      <c r="I172" s="355">
        <v>24991.399999999998</v>
      </c>
      <c r="J172" s="355">
        <v>-3351.8765134884984</v>
      </c>
      <c r="K172" s="355">
        <v>-3754.1016951071178</v>
      </c>
      <c r="L172" s="355">
        <v>-4204.5938985199728</v>
      </c>
      <c r="M172" s="355">
        <v>-4709.1451663423677</v>
      </c>
      <c r="N172" s="355">
        <v>-5274.2425863034523</v>
      </c>
      <c r="O172" s="355">
        <v>-5907.1516966598656</v>
      </c>
      <c r="P172" s="355">
        <v>-6616.0099002590496</v>
      </c>
      <c r="Q172" s="355">
        <v>-7409.9310882901364</v>
      </c>
      <c r="R172" s="355">
        <v>-8299.1228188849527</v>
      </c>
      <c r="S172" s="355">
        <v>-9295.0175571511463</v>
      </c>
      <c r="T172" s="355">
        <v>-10410.419664009285</v>
      </c>
      <c r="U172" s="355">
        <v>-11659.670023690396</v>
      </c>
      <c r="V172" s="355">
        <v>-13058.830426533244</v>
      </c>
      <c r="W172" s="355">
        <v>-14625.890077717235</v>
      </c>
      <c r="X172" s="355">
        <v>-16380.996887043302</v>
      </c>
      <c r="Y172" s="355">
        <v>0</v>
      </c>
      <c r="Z172" s="355">
        <v>0</v>
      </c>
      <c r="AA172" s="355">
        <v>0</v>
      </c>
      <c r="AB172" s="355">
        <v>0</v>
      </c>
      <c r="AC172" s="355">
        <v>0</v>
      </c>
      <c r="AD172" s="355">
        <v>0</v>
      </c>
      <c r="AE172" s="355">
        <v>0</v>
      </c>
      <c r="AF172" s="355">
        <v>0</v>
      </c>
      <c r="AG172" s="355">
        <v>0</v>
      </c>
      <c r="AH172" s="355">
        <v>0</v>
      </c>
      <c r="AI172" s="355">
        <v>0</v>
      </c>
      <c r="AJ172" s="355">
        <v>0</v>
      </c>
      <c r="AK172" s="355">
        <v>0</v>
      </c>
      <c r="AL172" s="355">
        <v>0</v>
      </c>
      <c r="AN172" s="59"/>
    </row>
    <row r="173" spans="1:40">
      <c r="C173" s="417"/>
      <c r="E173" s="249" t="s">
        <v>415</v>
      </c>
      <c r="F173" s="356">
        <v>0</v>
      </c>
      <c r="G173" s="357">
        <v>48733.23</v>
      </c>
      <c r="H173" s="357">
        <v>51232.37</v>
      </c>
      <c r="I173" s="357">
        <v>24991.399999999998</v>
      </c>
      <c r="J173" s="357">
        <v>0</v>
      </c>
      <c r="K173" s="357">
        <v>0</v>
      </c>
      <c r="L173" s="357">
        <v>0</v>
      </c>
      <c r="M173" s="357">
        <v>0</v>
      </c>
      <c r="N173" s="357">
        <v>0</v>
      </c>
      <c r="O173" s="357">
        <v>0</v>
      </c>
      <c r="P173" s="357">
        <v>0</v>
      </c>
      <c r="Q173" s="357">
        <v>0</v>
      </c>
      <c r="R173" s="357">
        <v>0</v>
      </c>
      <c r="S173" s="357">
        <v>0</v>
      </c>
      <c r="T173" s="357">
        <v>0</v>
      </c>
      <c r="U173" s="357">
        <v>0</v>
      </c>
      <c r="V173" s="357">
        <v>0</v>
      </c>
      <c r="W173" s="357">
        <v>0</v>
      </c>
      <c r="X173" s="357">
        <v>0</v>
      </c>
      <c r="Y173" s="357">
        <v>0</v>
      </c>
      <c r="Z173" s="357">
        <v>0</v>
      </c>
      <c r="AA173" s="357">
        <v>0</v>
      </c>
      <c r="AB173" s="357">
        <v>0</v>
      </c>
      <c r="AC173" s="357">
        <v>0</v>
      </c>
      <c r="AD173" s="357">
        <v>0</v>
      </c>
      <c r="AE173" s="357">
        <v>0</v>
      </c>
      <c r="AF173" s="357">
        <v>0</v>
      </c>
      <c r="AG173" s="357">
        <v>0</v>
      </c>
      <c r="AH173" s="357">
        <v>0</v>
      </c>
      <c r="AI173" s="357">
        <v>0</v>
      </c>
      <c r="AJ173" s="357">
        <v>0</v>
      </c>
      <c r="AK173" s="357">
        <v>0</v>
      </c>
      <c r="AL173" s="357">
        <v>0</v>
      </c>
    </row>
    <row r="174" spans="1:40">
      <c r="C174" s="417"/>
      <c r="E174" s="249" t="s">
        <v>416</v>
      </c>
      <c r="F174" s="356">
        <v>0</v>
      </c>
      <c r="G174" s="357">
        <v>0</v>
      </c>
      <c r="H174" s="357">
        <v>0</v>
      </c>
      <c r="I174" s="357">
        <v>0</v>
      </c>
      <c r="J174" s="357">
        <v>-3351.8765134884984</v>
      </c>
      <c r="K174" s="357">
        <v>-3754.1016951071178</v>
      </c>
      <c r="L174" s="357">
        <v>-4204.5938985199728</v>
      </c>
      <c r="M174" s="357">
        <v>-4709.1451663423677</v>
      </c>
      <c r="N174" s="357">
        <v>-5274.2425863034523</v>
      </c>
      <c r="O174" s="357">
        <v>-5907.1516966598656</v>
      </c>
      <c r="P174" s="357">
        <v>-6616.0099002590496</v>
      </c>
      <c r="Q174" s="357">
        <v>-7409.9310882901364</v>
      </c>
      <c r="R174" s="357">
        <v>-8299.1228188849527</v>
      </c>
      <c r="S174" s="357">
        <v>-9295.0175571511463</v>
      </c>
      <c r="T174" s="357">
        <v>-10410.419664009285</v>
      </c>
      <c r="U174" s="357">
        <v>-11659.670023690396</v>
      </c>
      <c r="V174" s="357">
        <v>-13058.830426533244</v>
      </c>
      <c r="W174" s="357">
        <v>-14625.890077717235</v>
      </c>
      <c r="X174" s="357">
        <v>-16380.996887043302</v>
      </c>
      <c r="Y174" s="357">
        <v>0</v>
      </c>
      <c r="Z174" s="357">
        <v>0</v>
      </c>
      <c r="AA174" s="357">
        <v>0</v>
      </c>
      <c r="AB174" s="357">
        <v>0</v>
      </c>
      <c r="AC174" s="357">
        <v>0</v>
      </c>
      <c r="AD174" s="357">
        <v>0</v>
      </c>
      <c r="AE174" s="357">
        <v>0</v>
      </c>
      <c r="AF174" s="357">
        <v>0</v>
      </c>
      <c r="AG174" s="357">
        <v>0</v>
      </c>
      <c r="AH174" s="357">
        <v>0</v>
      </c>
      <c r="AI174" s="357">
        <v>0</v>
      </c>
      <c r="AJ174" s="357">
        <v>0</v>
      </c>
      <c r="AK174" s="357">
        <v>0</v>
      </c>
      <c r="AL174" s="357">
        <v>0</v>
      </c>
    </row>
    <row r="175" spans="1:40" s="60" customFormat="1">
      <c r="A175" s="59"/>
      <c r="B175" s="18"/>
      <c r="C175" s="418"/>
      <c r="E175" s="251" t="s">
        <v>261</v>
      </c>
      <c r="F175" s="358">
        <v>4478.7732876712316</v>
      </c>
      <c r="G175" s="359">
        <v>6144.4824520547918</v>
      </c>
      <c r="H175" s="359">
        <v>7622.0670873972558</v>
      </c>
      <c r="I175" s="359">
        <v>25209.544279873149</v>
      </c>
      <c r="J175" s="359">
        <v>39360.229871963995</v>
      </c>
      <c r="K175" s="359">
        <v>42795.059548956662</v>
      </c>
      <c r="L175" s="359">
        <v>43860.399419494323</v>
      </c>
      <c r="M175" s="359">
        <v>43926.563063974339</v>
      </c>
      <c r="N175" s="359">
        <v>44081.908141530526</v>
      </c>
      <c r="O175" s="359">
        <v>44247.319786409214</v>
      </c>
      <c r="P175" s="359">
        <v>44394.69635595179</v>
      </c>
      <c r="Q175" s="359">
        <v>44521.664125396754</v>
      </c>
      <c r="R175" s="359">
        <v>44625.571221129707</v>
      </c>
      <c r="S175" s="359">
        <v>44659.149764028058</v>
      </c>
      <c r="T175" s="359">
        <v>44613.998637465564</v>
      </c>
      <c r="U175" s="359">
        <v>44527.756678459409</v>
      </c>
      <c r="V175" s="359">
        <v>44401.290762512916</v>
      </c>
      <c r="W175" s="359">
        <v>44229.885698778176</v>
      </c>
      <c r="X175" s="359">
        <v>42450.894700289835</v>
      </c>
      <c r="Y175" s="359">
        <v>60499.098014613577</v>
      </c>
      <c r="Z175" s="359">
        <v>60688.344035345639</v>
      </c>
      <c r="AA175" s="359">
        <v>60873.665366375833</v>
      </c>
      <c r="AB175" s="359">
        <v>61054.798208840693</v>
      </c>
      <c r="AC175" s="359">
        <v>61231.468641487532</v>
      </c>
      <c r="AD175" s="359">
        <v>61403.392283881753</v>
      </c>
      <c r="AE175" s="359">
        <v>61570.273949019254</v>
      </c>
      <c r="AF175" s="359">
        <v>61731.807285018731</v>
      </c>
      <c r="AG175" s="359">
        <v>61887.674405559381</v>
      </c>
      <c r="AH175" s="359">
        <v>62037.545508718271</v>
      </c>
      <c r="AI175" s="359">
        <v>62164.036975167059</v>
      </c>
      <c r="AJ175" s="359">
        <v>62246.969534391894</v>
      </c>
      <c r="AK175" s="359">
        <v>62317.007677623296</v>
      </c>
      <c r="AL175" s="359">
        <v>63606.554994567181</v>
      </c>
      <c r="AN175" s="59"/>
    </row>
    <row r="176" spans="1:40" ht="4.5" customHeight="1">
      <c r="C176" s="417"/>
      <c r="E176" s="250"/>
      <c r="F176" s="356"/>
      <c r="G176" s="357"/>
      <c r="H176" s="357"/>
      <c r="I176" s="357"/>
      <c r="J176" s="357"/>
      <c r="K176" s="357"/>
      <c r="L176" s="357"/>
      <c r="M176" s="357"/>
      <c r="N176" s="357"/>
      <c r="O176" s="357"/>
      <c r="P176" s="357"/>
      <c r="Q176" s="357"/>
      <c r="R176" s="357"/>
      <c r="S176" s="357"/>
      <c r="T176" s="357"/>
      <c r="U176" s="357"/>
      <c r="V176" s="357"/>
      <c r="W176" s="357"/>
      <c r="X176" s="357"/>
      <c r="Y176" s="357"/>
      <c r="Z176" s="357"/>
      <c r="AA176" s="357"/>
      <c r="AB176" s="357"/>
      <c r="AC176" s="357"/>
      <c r="AD176" s="357"/>
      <c r="AE176" s="357"/>
      <c r="AF176" s="357"/>
      <c r="AG176" s="357"/>
      <c r="AH176" s="357"/>
      <c r="AI176" s="357"/>
      <c r="AJ176" s="357"/>
      <c r="AK176" s="357"/>
      <c r="AL176" s="357"/>
    </row>
    <row r="177" spans="1:40" s="60" customFormat="1">
      <c r="A177" s="59"/>
      <c r="B177" s="18"/>
      <c r="C177" s="418"/>
      <c r="E177" s="252" t="s">
        <v>95</v>
      </c>
      <c r="F177" s="360"/>
      <c r="G177" s="361"/>
      <c r="H177" s="361"/>
      <c r="I177" s="361"/>
      <c r="J177" s="361"/>
      <c r="K177" s="361"/>
      <c r="L177" s="361"/>
      <c r="M177" s="361"/>
      <c r="N177" s="361"/>
      <c r="O177" s="361"/>
      <c r="P177" s="361"/>
      <c r="Q177" s="361"/>
      <c r="R177" s="361"/>
      <c r="S177" s="361"/>
      <c r="T177" s="361"/>
      <c r="U177" s="361"/>
      <c r="V177" s="361"/>
      <c r="W177" s="361"/>
      <c r="X177" s="361"/>
      <c r="Y177" s="361"/>
      <c r="Z177" s="361"/>
      <c r="AA177" s="361"/>
      <c r="AB177" s="361"/>
      <c r="AC177" s="361"/>
      <c r="AD177" s="361"/>
      <c r="AE177" s="361"/>
      <c r="AF177" s="361"/>
      <c r="AG177" s="361"/>
      <c r="AH177" s="361"/>
      <c r="AI177" s="361"/>
      <c r="AJ177" s="361"/>
      <c r="AK177" s="361"/>
      <c r="AL177" s="361"/>
      <c r="AM177" s="253"/>
      <c r="AN177" s="254"/>
    </row>
    <row r="178" spans="1:40" ht="4.5" customHeight="1">
      <c r="C178" s="417"/>
      <c r="E178" s="250"/>
      <c r="F178" s="356"/>
      <c r="G178" s="357"/>
      <c r="H178" s="357"/>
      <c r="I178" s="357"/>
      <c r="J178" s="357"/>
      <c r="K178" s="357"/>
      <c r="L178" s="357"/>
      <c r="M178" s="357"/>
      <c r="N178" s="357"/>
      <c r="O178" s="357"/>
      <c r="P178" s="357"/>
      <c r="Q178" s="357"/>
      <c r="R178" s="357"/>
      <c r="S178" s="357"/>
      <c r="T178" s="357"/>
      <c r="U178" s="357"/>
      <c r="V178" s="357"/>
      <c r="W178" s="357"/>
      <c r="X178" s="357"/>
      <c r="Y178" s="357"/>
      <c r="Z178" s="357"/>
      <c r="AA178" s="357"/>
      <c r="AB178" s="357"/>
      <c r="AC178" s="357"/>
      <c r="AD178" s="357"/>
      <c r="AE178" s="357"/>
      <c r="AF178" s="357"/>
      <c r="AG178" s="357"/>
      <c r="AH178" s="357"/>
      <c r="AI178" s="357"/>
      <c r="AJ178" s="357"/>
      <c r="AK178" s="357"/>
      <c r="AL178" s="357"/>
    </row>
    <row r="179" spans="1:40" s="60" customFormat="1">
      <c r="A179" s="59"/>
      <c r="B179" s="18"/>
      <c r="C179" s="418"/>
      <c r="E179" s="255" t="s">
        <v>321</v>
      </c>
      <c r="F179" s="362"/>
      <c r="G179" s="363"/>
      <c r="H179" s="363"/>
      <c r="I179" s="363"/>
      <c r="J179" s="363"/>
      <c r="K179" s="363"/>
      <c r="L179" s="363"/>
      <c r="M179" s="363"/>
      <c r="N179" s="363"/>
      <c r="O179" s="363"/>
      <c r="P179" s="363"/>
      <c r="Q179" s="363"/>
      <c r="R179" s="363"/>
      <c r="S179" s="363"/>
      <c r="T179" s="363"/>
      <c r="U179" s="363"/>
      <c r="V179" s="363"/>
      <c r="W179" s="363"/>
      <c r="X179" s="363"/>
      <c r="Y179" s="363"/>
      <c r="Z179" s="363"/>
      <c r="AA179" s="363"/>
      <c r="AB179" s="363"/>
      <c r="AC179" s="363"/>
      <c r="AD179" s="363"/>
      <c r="AE179" s="363"/>
      <c r="AF179" s="363"/>
      <c r="AG179" s="363"/>
      <c r="AH179" s="363"/>
      <c r="AI179" s="363"/>
      <c r="AJ179" s="363"/>
      <c r="AK179" s="363"/>
      <c r="AL179" s="363"/>
      <c r="AN179" s="59"/>
    </row>
    <row r="180" spans="1:40">
      <c r="C180" s="417"/>
      <c r="E180" s="249" t="s">
        <v>345</v>
      </c>
      <c r="F180" s="356">
        <v>6098</v>
      </c>
      <c r="G180" s="357">
        <v>6280.9400000000005</v>
      </c>
      <c r="H180" s="357">
        <v>6469.3682000000008</v>
      </c>
      <c r="I180" s="357">
        <v>65187.573550967805</v>
      </c>
      <c r="J180" s="357">
        <v>101068.37068710339</v>
      </c>
      <c r="K180" s="357">
        <v>103105.71483677617</v>
      </c>
      <c r="L180" s="357">
        <v>104767.93504919813</v>
      </c>
      <c r="M180" s="357">
        <v>103981.1555259809</v>
      </c>
      <c r="N180" s="357">
        <v>103786.51797484011</v>
      </c>
      <c r="O180" s="357">
        <v>103596.73916712322</v>
      </c>
      <c r="P180" s="357">
        <v>103412.12775955044</v>
      </c>
      <c r="Q180" s="357">
        <v>103233.00413495577</v>
      </c>
      <c r="R180" s="357">
        <v>103059.70079113069</v>
      </c>
      <c r="S180" s="357">
        <v>102769.31687773719</v>
      </c>
      <c r="T180" s="357">
        <v>102363.21969062305</v>
      </c>
      <c r="U180" s="357">
        <v>101956.65257006235</v>
      </c>
      <c r="V180" s="357">
        <v>101549.77967799033</v>
      </c>
      <c r="W180" s="357">
        <v>101142.77279840366</v>
      </c>
      <c r="X180" s="357">
        <v>100735.81160651239</v>
      </c>
      <c r="Y180" s="357">
        <v>100329.08394656777</v>
      </c>
      <c r="Z180" s="357">
        <v>99922.786118634947</v>
      </c>
      <c r="AA180" s="357">
        <v>99517.123174587818</v>
      </c>
      <c r="AB180" s="357">
        <v>99112.309223611737</v>
      </c>
      <c r="AC180" s="357">
        <v>98708.567747508612</v>
      </c>
      <c r="AD180" s="357">
        <v>98306.131926107511</v>
      </c>
      <c r="AE180" s="357">
        <v>97905.244973093562</v>
      </c>
      <c r="AF180" s="357">
        <v>97506.160482577412</v>
      </c>
      <c r="AG180" s="357">
        <v>97109.142786736687</v>
      </c>
      <c r="AH180" s="357">
        <v>96714.467324872123</v>
      </c>
      <c r="AI180" s="357">
        <v>96275.03256389343</v>
      </c>
      <c r="AJ180" s="357">
        <v>95741.842578808821</v>
      </c>
      <c r="AK180" s="357">
        <v>95207.569507977198</v>
      </c>
      <c r="AL180" s="357">
        <v>94672.407486111217</v>
      </c>
    </row>
    <row r="181" spans="1:40">
      <c r="C181" s="417"/>
      <c r="E181" s="249" t="s">
        <v>417</v>
      </c>
      <c r="F181" s="364">
        <v>25</v>
      </c>
      <c r="G181" s="365">
        <v>25</v>
      </c>
      <c r="H181" s="365">
        <v>25</v>
      </c>
      <c r="I181" s="365">
        <v>25</v>
      </c>
      <c r="J181" s="365">
        <v>15</v>
      </c>
      <c r="K181" s="365">
        <v>15</v>
      </c>
      <c r="L181" s="365">
        <v>15</v>
      </c>
      <c r="M181" s="365">
        <v>15</v>
      </c>
      <c r="N181" s="365">
        <v>15</v>
      </c>
      <c r="O181" s="365">
        <v>15</v>
      </c>
      <c r="P181" s="365">
        <v>15</v>
      </c>
      <c r="Q181" s="365">
        <v>15</v>
      </c>
      <c r="R181" s="365">
        <v>15</v>
      </c>
      <c r="S181" s="365">
        <v>15</v>
      </c>
      <c r="T181" s="365">
        <v>15</v>
      </c>
      <c r="U181" s="365">
        <v>15</v>
      </c>
      <c r="V181" s="365">
        <v>15</v>
      </c>
      <c r="W181" s="365">
        <v>15</v>
      </c>
      <c r="X181" s="365">
        <v>15</v>
      </c>
      <c r="Y181" s="365">
        <v>15</v>
      </c>
      <c r="Z181" s="365">
        <v>15</v>
      </c>
      <c r="AA181" s="365">
        <v>15</v>
      </c>
      <c r="AB181" s="365">
        <v>15</v>
      </c>
      <c r="AC181" s="365">
        <v>15</v>
      </c>
      <c r="AD181" s="365">
        <v>15</v>
      </c>
      <c r="AE181" s="365">
        <v>15</v>
      </c>
      <c r="AF181" s="365">
        <v>15</v>
      </c>
      <c r="AG181" s="365">
        <v>15</v>
      </c>
      <c r="AH181" s="365">
        <v>15</v>
      </c>
      <c r="AI181" s="365">
        <v>15</v>
      </c>
      <c r="AJ181" s="365">
        <v>15</v>
      </c>
      <c r="AK181" s="365">
        <v>15</v>
      </c>
      <c r="AL181" s="365">
        <v>15</v>
      </c>
    </row>
    <row r="182" spans="1:40" s="60" customFormat="1">
      <c r="A182" s="59"/>
      <c r="B182" s="18"/>
      <c r="C182" s="418"/>
      <c r="E182" s="255" t="s">
        <v>418</v>
      </c>
      <c r="F182" s="362">
        <v>-417.67123287671228</v>
      </c>
      <c r="G182" s="363">
        <v>-430.20136986301372</v>
      </c>
      <c r="H182" s="363">
        <v>-443.10741095890415</v>
      </c>
      <c r="I182" s="363">
        <v>-4464.9022980114933</v>
      </c>
      <c r="J182" s="363">
        <v>-4153.494685771373</v>
      </c>
      <c r="K182" s="363">
        <v>-4237.2211576757327</v>
      </c>
      <c r="L182" s="363">
        <v>-4305.5315773643069</v>
      </c>
      <c r="M182" s="363">
        <v>-4273.1981723005847</v>
      </c>
      <c r="N182" s="363">
        <v>-4265.1993688290459</v>
      </c>
      <c r="O182" s="363">
        <v>-4257.4002397447894</v>
      </c>
      <c r="P182" s="363">
        <v>-4249.8134695705658</v>
      </c>
      <c r="Q182" s="363">
        <v>-4242.4522247242103</v>
      </c>
      <c r="R182" s="363">
        <v>-4235.3301694985221</v>
      </c>
      <c r="S182" s="363">
        <v>-4223.3965840165965</v>
      </c>
      <c r="T182" s="363">
        <v>-4206.7076585187551</v>
      </c>
      <c r="U182" s="363">
        <v>-4189.9994206874935</v>
      </c>
      <c r="V182" s="363">
        <v>-4173.2786169037117</v>
      </c>
      <c r="W182" s="363">
        <v>-4156.5523067837121</v>
      </c>
      <c r="X182" s="363">
        <v>-4139.8278742402354</v>
      </c>
      <c r="Y182" s="363">
        <v>-4123.1130389000455</v>
      </c>
      <c r="Z182" s="363">
        <v>-4106.4158678891072</v>
      </c>
      <c r="AA182" s="363">
        <v>-4089.7447879967599</v>
      </c>
      <c r="AB182" s="363">
        <v>-4073.1085982306199</v>
      </c>
      <c r="AC182" s="363">
        <v>-4056.5164827743265</v>
      </c>
      <c r="AD182" s="363">
        <v>-4039.9780243605828</v>
      </c>
      <c r="AE182" s="363">
        <v>-4023.5032180723383</v>
      </c>
      <c r="AF182" s="363">
        <v>-4007.102485585373</v>
      </c>
      <c r="AG182" s="363">
        <v>-3990.7866898658913</v>
      </c>
      <c r="AH182" s="363">
        <v>-3974.5671503372105</v>
      </c>
      <c r="AI182" s="363">
        <v>-3956.5081875572646</v>
      </c>
      <c r="AJ182" s="363">
        <v>-3934.5962703620062</v>
      </c>
      <c r="AK182" s="363">
        <v>-3912.6398427935837</v>
      </c>
      <c r="AL182" s="363">
        <v>-3890.6468829908717</v>
      </c>
      <c r="AN182" s="59"/>
    </row>
    <row r="183" spans="1:40" ht="4.5" customHeight="1">
      <c r="C183" s="417"/>
      <c r="E183" s="250"/>
      <c r="F183" s="356"/>
      <c r="G183" s="357"/>
      <c r="H183" s="357"/>
      <c r="I183" s="357"/>
      <c r="J183" s="357"/>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row>
    <row r="184" spans="1:40" s="60" customFormat="1">
      <c r="A184" s="59"/>
      <c r="B184" s="18"/>
      <c r="C184" s="418"/>
      <c r="E184" s="255" t="s">
        <v>347</v>
      </c>
      <c r="F184" s="362"/>
      <c r="G184" s="363"/>
      <c r="H184" s="363"/>
      <c r="I184" s="363"/>
      <c r="J184" s="363"/>
      <c r="K184" s="363"/>
      <c r="L184" s="363"/>
      <c r="M184" s="363"/>
      <c r="N184" s="363"/>
      <c r="O184" s="363"/>
      <c r="P184" s="363"/>
      <c r="Q184" s="363"/>
      <c r="R184" s="363"/>
      <c r="S184" s="363"/>
      <c r="T184" s="363"/>
      <c r="U184" s="363"/>
      <c r="V184" s="363"/>
      <c r="W184" s="363"/>
      <c r="X184" s="363"/>
      <c r="Y184" s="363"/>
      <c r="Z184" s="363"/>
      <c r="AA184" s="363"/>
      <c r="AB184" s="363"/>
      <c r="AC184" s="363"/>
      <c r="AD184" s="363"/>
      <c r="AE184" s="363"/>
      <c r="AF184" s="363"/>
      <c r="AG184" s="363"/>
      <c r="AH184" s="363"/>
      <c r="AI184" s="363"/>
      <c r="AJ184" s="363"/>
      <c r="AK184" s="363"/>
      <c r="AL184" s="363"/>
      <c r="AN184" s="59"/>
    </row>
    <row r="185" spans="1:40">
      <c r="C185" s="417"/>
      <c r="E185" s="249" t="s">
        <v>103</v>
      </c>
      <c r="F185" s="356">
        <v>45272</v>
      </c>
      <c r="G185" s="357">
        <v>53496.34</v>
      </c>
      <c r="H185" s="357">
        <v>57842.946799999998</v>
      </c>
      <c r="I185" s="357">
        <v>102980.46286827399</v>
      </c>
      <c r="J185" s="357">
        <v>181307.46203307618</v>
      </c>
      <c r="K185" s="357">
        <v>186287.38586793441</v>
      </c>
      <c r="L185" s="357">
        <v>189556.60428867242</v>
      </c>
      <c r="M185" s="357">
        <v>189072.3300920201</v>
      </c>
      <c r="N185" s="357">
        <v>189504.26580598071</v>
      </c>
      <c r="O185" s="357">
        <v>189949.15959136013</v>
      </c>
      <c r="P185" s="357">
        <v>190407.40019030092</v>
      </c>
      <c r="Q185" s="357">
        <v>190879.38800720996</v>
      </c>
      <c r="R185" s="357">
        <v>191365.53545862625</v>
      </c>
      <c r="S185" s="357">
        <v>191676.677756905</v>
      </c>
      <c r="T185" s="357">
        <v>191814.80512530197</v>
      </c>
      <c r="U185" s="357">
        <v>191957.0763147508</v>
      </c>
      <c r="V185" s="357">
        <v>192103.61563988312</v>
      </c>
      <c r="W185" s="357">
        <v>192254.55114476942</v>
      </c>
      <c r="X185" s="357">
        <v>192410.0147148023</v>
      </c>
      <c r="Y185" s="357">
        <v>192570.14219193617</v>
      </c>
      <c r="Z185" s="357">
        <v>192735.07349338406</v>
      </c>
      <c r="AA185" s="357">
        <v>192904.95273387537</v>
      </c>
      <c r="AB185" s="357">
        <v>193079.92835158142</v>
      </c>
      <c r="AC185" s="357">
        <v>193260.15323781865</v>
      </c>
      <c r="AD185" s="357">
        <v>193445.78487064302</v>
      </c>
      <c r="AE185" s="357">
        <v>193636.98545245209</v>
      </c>
      <c r="AF185" s="357">
        <v>193833.92205171546</v>
      </c>
      <c r="AG185" s="357">
        <v>194036.76674895672</v>
      </c>
      <c r="AH185" s="357">
        <v>194245.69678711522</v>
      </c>
      <c r="AI185" s="357">
        <v>194387.98769922904</v>
      </c>
      <c r="AJ185" s="357">
        <v>194387.98769922904</v>
      </c>
      <c r="AK185" s="357">
        <v>194387.98769922904</v>
      </c>
      <c r="AL185" s="357">
        <v>194387.98769922904</v>
      </c>
    </row>
    <row r="186" spans="1:40">
      <c r="C186" s="417"/>
      <c r="E186" s="249" t="s">
        <v>102</v>
      </c>
      <c r="F186" s="364">
        <v>30</v>
      </c>
      <c r="G186" s="357">
        <v>30</v>
      </c>
      <c r="H186" s="357">
        <v>30</v>
      </c>
      <c r="I186" s="357">
        <v>30</v>
      </c>
      <c r="J186" s="357">
        <v>30</v>
      </c>
      <c r="K186" s="357">
        <v>30</v>
      </c>
      <c r="L186" s="357">
        <v>30</v>
      </c>
      <c r="M186" s="357">
        <v>30</v>
      </c>
      <c r="N186" s="357">
        <v>30</v>
      </c>
      <c r="O186" s="357">
        <v>30</v>
      </c>
      <c r="P186" s="357">
        <v>30</v>
      </c>
      <c r="Q186" s="357">
        <v>30</v>
      </c>
      <c r="R186" s="357">
        <v>30</v>
      </c>
      <c r="S186" s="357">
        <v>30</v>
      </c>
      <c r="T186" s="357">
        <v>30</v>
      </c>
      <c r="U186" s="357">
        <v>30</v>
      </c>
      <c r="V186" s="357">
        <v>30</v>
      </c>
      <c r="W186" s="357">
        <v>30</v>
      </c>
      <c r="X186" s="357">
        <v>30</v>
      </c>
      <c r="Y186" s="357">
        <v>30</v>
      </c>
      <c r="Z186" s="357">
        <v>30</v>
      </c>
      <c r="AA186" s="357">
        <v>30</v>
      </c>
      <c r="AB186" s="357">
        <v>30</v>
      </c>
      <c r="AC186" s="357">
        <v>30</v>
      </c>
      <c r="AD186" s="357">
        <v>30</v>
      </c>
      <c r="AE186" s="357">
        <v>30</v>
      </c>
      <c r="AF186" s="357">
        <v>30</v>
      </c>
      <c r="AG186" s="357">
        <v>30</v>
      </c>
      <c r="AH186" s="357">
        <v>30</v>
      </c>
      <c r="AI186" s="357">
        <v>30</v>
      </c>
      <c r="AJ186" s="357">
        <v>30</v>
      </c>
      <c r="AK186" s="357">
        <v>30</v>
      </c>
      <c r="AL186" s="357">
        <v>30</v>
      </c>
    </row>
    <row r="187" spans="1:40" s="60" customFormat="1">
      <c r="A187" s="59"/>
      <c r="B187" s="18"/>
      <c r="C187" s="418"/>
      <c r="E187" s="255" t="s">
        <v>349</v>
      </c>
      <c r="F187" s="362">
        <v>-3720.9863013698632</v>
      </c>
      <c r="G187" s="363">
        <v>-4396.9594520547944</v>
      </c>
      <c r="H187" s="363">
        <v>-4754.2148054794516</v>
      </c>
      <c r="I187" s="363">
        <v>-8464.1476330088208</v>
      </c>
      <c r="J187" s="363">
        <v>-14901.983180800782</v>
      </c>
      <c r="K187" s="363">
        <v>-15311.291989145293</v>
      </c>
      <c r="L187" s="363">
        <v>-15579.994873041567</v>
      </c>
      <c r="M187" s="363">
        <v>-15540.191514412611</v>
      </c>
      <c r="N187" s="363">
        <v>-15575.693079943621</v>
      </c>
      <c r="O187" s="363">
        <v>-15612.259692440559</v>
      </c>
      <c r="P187" s="363">
        <v>-15649.923303312406</v>
      </c>
      <c r="Q187" s="363">
        <v>-15688.716822510407</v>
      </c>
      <c r="R187" s="363">
        <v>-15728.67414728435</v>
      </c>
      <c r="S187" s="363">
        <v>-15754.247486868902</v>
      </c>
      <c r="T187" s="363">
        <v>-15765.600421257697</v>
      </c>
      <c r="U187" s="363">
        <v>-15777.293943678147</v>
      </c>
      <c r="V187" s="363">
        <v>-15789.338271771216</v>
      </c>
      <c r="W187" s="363">
        <v>-15801.743929707076</v>
      </c>
      <c r="X187" s="363">
        <v>-15814.52175738101</v>
      </c>
      <c r="Y187" s="363">
        <v>-15827.682919885165</v>
      </c>
      <c r="Z187" s="363">
        <v>-15841.238917264442</v>
      </c>
      <c r="AA187" s="363">
        <v>-15855.201594565098</v>
      </c>
      <c r="AB187" s="363">
        <v>-15869.583152184774</v>
      </c>
      <c r="AC187" s="363">
        <v>-15884.396156533041</v>
      </c>
      <c r="AD187" s="363">
        <v>-15899.653551011754</v>
      </c>
      <c r="AE187" s="363">
        <v>-15915.36866732483</v>
      </c>
      <c r="AF187" s="363">
        <v>-15931.555237127297</v>
      </c>
      <c r="AG187" s="363">
        <v>-15948.227404023841</v>
      </c>
      <c r="AH187" s="363">
        <v>-15965.39973592728</v>
      </c>
      <c r="AI187" s="363">
        <v>-15977.094879388687</v>
      </c>
      <c r="AJ187" s="363">
        <v>-15977.094879388687</v>
      </c>
      <c r="AK187" s="363">
        <v>-15977.094879388687</v>
      </c>
      <c r="AL187" s="363">
        <v>-15977.094879388687</v>
      </c>
      <c r="AN187" s="59"/>
    </row>
    <row r="188" spans="1:40" ht="4.5" customHeight="1">
      <c r="C188" s="417"/>
      <c r="E188" s="250"/>
      <c r="F188" s="356"/>
      <c r="G188" s="357"/>
      <c r="H188" s="357"/>
      <c r="I188" s="357"/>
      <c r="J188" s="357"/>
      <c r="K188" s="357"/>
      <c r="L188" s="357"/>
      <c r="M188" s="357"/>
      <c r="N188" s="357"/>
      <c r="O188" s="357"/>
      <c r="P188" s="357"/>
      <c r="Q188" s="357"/>
      <c r="R188" s="357"/>
      <c r="S188" s="357"/>
      <c r="T188" s="357"/>
      <c r="U188" s="357"/>
      <c r="V188" s="357"/>
      <c r="W188" s="357"/>
      <c r="X188" s="357"/>
      <c r="Y188" s="357"/>
      <c r="Z188" s="357"/>
      <c r="AA188" s="357"/>
      <c r="AB188" s="357"/>
      <c r="AC188" s="357"/>
      <c r="AD188" s="357"/>
      <c r="AE188" s="357"/>
      <c r="AF188" s="357"/>
      <c r="AG188" s="357"/>
      <c r="AH188" s="357"/>
      <c r="AI188" s="357"/>
      <c r="AJ188" s="357"/>
      <c r="AK188" s="357"/>
      <c r="AL188" s="357"/>
    </row>
    <row r="189" spans="1:40" s="60" customFormat="1">
      <c r="A189" s="59"/>
      <c r="B189" s="18"/>
      <c r="C189" s="418"/>
      <c r="E189" s="255" t="s">
        <v>350</v>
      </c>
      <c r="F189" s="362"/>
      <c r="G189" s="363"/>
      <c r="H189" s="363"/>
      <c r="I189" s="363"/>
      <c r="J189" s="363"/>
      <c r="K189" s="363"/>
      <c r="L189" s="363"/>
      <c r="M189" s="363"/>
      <c r="N189" s="363"/>
      <c r="O189" s="363"/>
      <c r="P189" s="363"/>
      <c r="Q189" s="363"/>
      <c r="R189" s="363"/>
      <c r="S189" s="363"/>
      <c r="T189" s="363"/>
      <c r="U189" s="363"/>
      <c r="V189" s="363"/>
      <c r="W189" s="363"/>
      <c r="X189" s="363"/>
      <c r="Y189" s="363"/>
      <c r="Z189" s="363"/>
      <c r="AA189" s="363"/>
      <c r="AB189" s="363"/>
      <c r="AC189" s="363"/>
      <c r="AD189" s="363"/>
      <c r="AE189" s="363"/>
      <c r="AF189" s="363"/>
      <c r="AG189" s="363"/>
      <c r="AH189" s="363"/>
      <c r="AI189" s="363"/>
      <c r="AJ189" s="363"/>
      <c r="AK189" s="363"/>
      <c r="AL189" s="363"/>
      <c r="AN189" s="59"/>
    </row>
    <row r="190" spans="1:40">
      <c r="C190" s="417"/>
      <c r="E190" s="249" t="s">
        <v>350</v>
      </c>
      <c r="F190" s="356">
        <v>4984</v>
      </c>
      <c r="G190" s="357">
        <v>5133.5199999999995</v>
      </c>
      <c r="H190" s="357">
        <v>5287.5255999999999</v>
      </c>
      <c r="I190" s="357">
        <v>71833.724918967811</v>
      </c>
      <c r="J190" s="357">
        <v>107913.9065961434</v>
      </c>
      <c r="K190" s="357">
        <v>110156.61682308737</v>
      </c>
      <c r="L190" s="357">
        <v>112030.36409509866</v>
      </c>
      <c r="M190" s="357">
        <v>111461.45744325845</v>
      </c>
      <c r="N190" s="357">
        <v>111491.22894963599</v>
      </c>
      <c r="O190" s="357">
        <v>111532.59147116297</v>
      </c>
      <c r="P190" s="357">
        <v>111586.05563271139</v>
      </c>
      <c r="Q190" s="357">
        <v>111652.14984431156</v>
      </c>
      <c r="R190" s="357">
        <v>111731.42087176713</v>
      </c>
      <c r="S190" s="357">
        <v>111701.18856079274</v>
      </c>
      <c r="T190" s="357">
        <v>111563.04752417027</v>
      </c>
      <c r="U190" s="357">
        <v>111432.47523861597</v>
      </c>
      <c r="V190" s="357">
        <v>111309.87702660056</v>
      </c>
      <c r="W190" s="357">
        <v>111195.67306747221</v>
      </c>
      <c r="X190" s="357">
        <v>111090.29888365298</v>
      </c>
      <c r="Y190" s="357">
        <v>110994.20584202258</v>
      </c>
      <c r="Z190" s="357">
        <v>110907.86167095343</v>
      </c>
      <c r="AA190" s="357">
        <v>110831.75099347584</v>
      </c>
      <c r="AB190" s="357">
        <v>110766.3758770664</v>
      </c>
      <c r="AC190" s="357">
        <v>110712.25640056691</v>
      </c>
      <c r="AD190" s="357">
        <v>110669.93123875756</v>
      </c>
      <c r="AE190" s="357">
        <v>110639.95826512313</v>
      </c>
      <c r="AF190" s="357">
        <v>110622.91517336786</v>
      </c>
      <c r="AG190" s="357">
        <v>110619.40011825084</v>
      </c>
      <c r="AH190" s="357">
        <v>110630.0323763317</v>
      </c>
      <c r="AI190" s="357">
        <v>110608.06456689679</v>
      </c>
      <c r="AJ190" s="357">
        <v>110504.86554190228</v>
      </c>
      <c r="AK190" s="357">
        <v>110413.48315996348</v>
      </c>
      <c r="AL190" s="357">
        <v>110334.49854765707</v>
      </c>
    </row>
    <row r="191" spans="1:40">
      <c r="C191" s="417"/>
      <c r="E191" s="249" t="s">
        <v>102</v>
      </c>
      <c r="F191" s="364">
        <v>45</v>
      </c>
      <c r="G191" s="357">
        <v>45</v>
      </c>
      <c r="H191" s="357">
        <v>45</v>
      </c>
      <c r="I191" s="357">
        <v>45</v>
      </c>
      <c r="J191" s="357">
        <v>45</v>
      </c>
      <c r="K191" s="357">
        <v>45</v>
      </c>
      <c r="L191" s="357">
        <v>45</v>
      </c>
      <c r="M191" s="357">
        <v>45</v>
      </c>
      <c r="N191" s="357">
        <v>45</v>
      </c>
      <c r="O191" s="357">
        <v>45</v>
      </c>
      <c r="P191" s="357">
        <v>45</v>
      </c>
      <c r="Q191" s="357">
        <v>45</v>
      </c>
      <c r="R191" s="357">
        <v>45</v>
      </c>
      <c r="S191" s="357">
        <v>45</v>
      </c>
      <c r="T191" s="357">
        <v>45</v>
      </c>
      <c r="U191" s="357">
        <v>45</v>
      </c>
      <c r="V191" s="357">
        <v>45</v>
      </c>
      <c r="W191" s="357">
        <v>45</v>
      </c>
      <c r="X191" s="357">
        <v>45</v>
      </c>
      <c r="Y191" s="357">
        <v>45</v>
      </c>
      <c r="Z191" s="357">
        <v>45</v>
      </c>
      <c r="AA191" s="357">
        <v>45</v>
      </c>
      <c r="AB191" s="357">
        <v>45</v>
      </c>
      <c r="AC191" s="357">
        <v>45</v>
      </c>
      <c r="AD191" s="357">
        <v>45</v>
      </c>
      <c r="AE191" s="357">
        <v>45</v>
      </c>
      <c r="AF191" s="357">
        <v>45</v>
      </c>
      <c r="AG191" s="357">
        <v>45</v>
      </c>
      <c r="AH191" s="357">
        <v>45</v>
      </c>
      <c r="AI191" s="357">
        <v>45</v>
      </c>
      <c r="AJ191" s="357">
        <v>45</v>
      </c>
      <c r="AK191" s="357">
        <v>45</v>
      </c>
      <c r="AL191" s="357">
        <v>45</v>
      </c>
    </row>
    <row r="192" spans="1:40" s="60" customFormat="1">
      <c r="A192" s="59"/>
      <c r="B192" s="18"/>
      <c r="C192" s="418"/>
      <c r="E192" s="255" t="s">
        <v>348</v>
      </c>
      <c r="F192" s="362">
        <v>614.46575342465758</v>
      </c>
      <c r="G192" s="363">
        <v>632.89972602739726</v>
      </c>
      <c r="H192" s="363">
        <v>651.88671780821915</v>
      </c>
      <c r="I192" s="363">
        <v>8856.2126612426073</v>
      </c>
      <c r="J192" s="363">
        <v>13304.454237880691</v>
      </c>
      <c r="K192" s="363">
        <v>13580.952759010774</v>
      </c>
      <c r="L192" s="363">
        <v>13811.962696655999</v>
      </c>
      <c r="M192" s="363">
        <v>13741.823520401726</v>
      </c>
      <c r="N192" s="363">
        <v>13745.493980092109</v>
      </c>
      <c r="O192" s="363">
        <v>13750.59346904749</v>
      </c>
      <c r="P192" s="363">
        <v>13757.184941019212</v>
      </c>
      <c r="Q192" s="363">
        <v>13765.333542449369</v>
      </c>
      <c r="R192" s="363">
        <v>13775.106682820606</v>
      </c>
      <c r="S192" s="363">
        <v>13771.379411604583</v>
      </c>
      <c r="T192" s="363">
        <v>13754.348324897705</v>
      </c>
      <c r="U192" s="363">
        <v>13738.25037188416</v>
      </c>
      <c r="V192" s="363">
        <v>13723.135523827466</v>
      </c>
      <c r="W192" s="363">
        <v>13709.055583660956</v>
      </c>
      <c r="X192" s="363">
        <v>13696.06424592982</v>
      </c>
      <c r="Y192" s="363">
        <v>13684.217158605523</v>
      </c>
      <c r="Z192" s="363">
        <v>13673.571986829875</v>
      </c>
      <c r="AA192" s="363">
        <v>13664.188478647706</v>
      </c>
      <c r="AB192" s="363">
        <v>13656.128532789009</v>
      </c>
      <c r="AC192" s="363">
        <v>13649.456268563044</v>
      </c>
      <c r="AD192" s="363">
        <v>13644.238097929016</v>
      </c>
      <c r="AE192" s="363">
        <v>13640.542799809702</v>
      </c>
      <c r="AF192" s="363">
        <v>13638.441596716584</v>
      </c>
      <c r="AG192" s="363">
        <v>13638.008233756951</v>
      </c>
      <c r="AH192" s="363">
        <v>13639.31906009569</v>
      </c>
      <c r="AI192" s="363">
        <v>13636.61070002837</v>
      </c>
      <c r="AJ192" s="363">
        <v>13623.887532563296</v>
      </c>
      <c r="AK192" s="363">
        <v>13612.621211502346</v>
      </c>
      <c r="AL192" s="363">
        <v>13602.883382587859</v>
      </c>
      <c r="AN192" s="59"/>
    </row>
    <row r="193" spans="1:40" s="60" customFormat="1" ht="4.5" customHeight="1">
      <c r="A193" s="59"/>
      <c r="B193" s="18"/>
      <c r="C193" s="418"/>
      <c r="E193" s="255"/>
      <c r="F193" s="362"/>
      <c r="G193" s="363"/>
      <c r="H193" s="363"/>
      <c r="I193" s="363"/>
      <c r="J193" s="363"/>
      <c r="K193" s="363"/>
      <c r="L193" s="363"/>
      <c r="M193" s="363"/>
      <c r="N193" s="363"/>
      <c r="O193" s="363"/>
      <c r="P193" s="363"/>
      <c r="Q193" s="363"/>
      <c r="R193" s="363"/>
      <c r="S193" s="363"/>
      <c r="T193" s="363"/>
      <c r="U193" s="363"/>
      <c r="V193" s="363"/>
      <c r="W193" s="363"/>
      <c r="X193" s="363"/>
      <c r="Y193" s="363"/>
      <c r="Z193" s="363"/>
      <c r="AA193" s="363"/>
      <c r="AB193" s="363"/>
      <c r="AC193" s="363"/>
      <c r="AD193" s="363"/>
      <c r="AE193" s="363"/>
      <c r="AF193" s="363"/>
      <c r="AG193" s="363"/>
      <c r="AH193" s="363"/>
      <c r="AI193" s="363"/>
      <c r="AJ193" s="363"/>
      <c r="AK193" s="363"/>
      <c r="AL193" s="363"/>
      <c r="AN193" s="59"/>
    </row>
    <row r="194" spans="1:40" s="60" customFormat="1" ht="14.25" thickBot="1">
      <c r="A194" s="59"/>
      <c r="B194" s="18"/>
      <c r="C194" s="418"/>
      <c r="E194" s="256" t="s">
        <v>95</v>
      </c>
      <c r="F194" s="366">
        <v>-3524.1917808219182</v>
      </c>
      <c r="G194" s="366">
        <v>-4194.2610958904106</v>
      </c>
      <c r="H194" s="367">
        <v>-4545.4354986301369</v>
      </c>
      <c r="I194" s="367">
        <v>-4072.8372697777068</v>
      </c>
      <c r="J194" s="367">
        <v>-5751.0236286914624</v>
      </c>
      <c r="K194" s="367">
        <v>-5967.5603878102502</v>
      </c>
      <c r="L194" s="367">
        <v>-6073.5637537498733</v>
      </c>
      <c r="M194" s="367">
        <v>-6071.5661663114697</v>
      </c>
      <c r="N194" s="367">
        <v>-6095.3984686805597</v>
      </c>
      <c r="O194" s="367">
        <v>-6119.0664631378604</v>
      </c>
      <c r="P194" s="367">
        <v>-6142.5518318637587</v>
      </c>
      <c r="Q194" s="367">
        <v>-6165.8355047852474</v>
      </c>
      <c r="R194" s="367">
        <v>-6188.8976339622641</v>
      </c>
      <c r="S194" s="367">
        <v>-6206.2646592809178</v>
      </c>
      <c r="T194" s="367">
        <v>-6217.9597548787478</v>
      </c>
      <c r="U194" s="367">
        <v>-6229.0429924814798</v>
      </c>
      <c r="V194" s="367">
        <v>-6239.4813648474628</v>
      </c>
      <c r="W194" s="367">
        <v>-6249.2406528298307</v>
      </c>
      <c r="X194" s="367">
        <v>-6258.2853856914244</v>
      </c>
      <c r="Y194" s="367">
        <v>-6266.5788001796864</v>
      </c>
      <c r="Z194" s="367">
        <v>-6274.0827983236759</v>
      </c>
      <c r="AA194" s="367">
        <v>-6280.7579039141528</v>
      </c>
      <c r="AB194" s="367">
        <v>-6286.5632176263844</v>
      </c>
      <c r="AC194" s="367">
        <v>-6291.4563707443231</v>
      </c>
      <c r="AD194" s="367">
        <v>-6295.3934774433201</v>
      </c>
      <c r="AE194" s="367">
        <v>-6298.3290855874675</v>
      </c>
      <c r="AF194" s="367">
        <v>-6300.2161259960849</v>
      </c>
      <c r="AG194" s="367">
        <v>-6301.0058601327801</v>
      </c>
      <c r="AH194" s="367">
        <v>-6300.6478261688007</v>
      </c>
      <c r="AI194" s="367">
        <v>-6296.9923669175805</v>
      </c>
      <c r="AJ194" s="367">
        <v>-6287.8036171873991</v>
      </c>
      <c r="AK194" s="367">
        <v>-6277.1135106799247</v>
      </c>
      <c r="AL194" s="367">
        <v>-6264.8583797916999</v>
      </c>
      <c r="AN194" s="59"/>
    </row>
    <row r="195" spans="1:40" ht="3.75" customHeight="1">
      <c r="C195" s="418"/>
      <c r="F195" s="81"/>
    </row>
    <row r="196" spans="1:40" ht="14.25" thickBot="1">
      <c r="C196" s="418"/>
      <c r="E196" s="399" t="s">
        <v>239</v>
      </c>
      <c r="F196" s="400">
        <v>4478.7732876712325</v>
      </c>
      <c r="G196" s="401">
        <v>-42588.747547945211</v>
      </c>
      <c r="H196" s="401">
        <v>-43610.302912602747</v>
      </c>
      <c r="I196" s="401">
        <v>218.1442798731523</v>
      </c>
      <c r="J196" s="401">
        <v>42712.106385452498</v>
      </c>
      <c r="K196" s="401">
        <v>46549.161244063784</v>
      </c>
      <c r="L196" s="401">
        <v>48064.993318014298</v>
      </c>
      <c r="M196" s="401">
        <v>48635.708230316712</v>
      </c>
      <c r="N196" s="401">
        <v>49356.150727833985</v>
      </c>
      <c r="O196" s="401">
        <v>50154.471483069079</v>
      </c>
      <c r="P196" s="401">
        <v>51010.706256210833</v>
      </c>
      <c r="Q196" s="401">
        <v>51931.595213686887</v>
      </c>
      <c r="R196" s="401">
        <v>52924.69404001467</v>
      </c>
      <c r="S196" s="401">
        <v>53954.167321179208</v>
      </c>
      <c r="T196" s="401">
        <v>55024.418301474849</v>
      </c>
      <c r="U196" s="401">
        <v>56187.426702149809</v>
      </c>
      <c r="V196" s="401">
        <v>57460.121189046156</v>
      </c>
      <c r="W196" s="401">
        <v>58855.775776495415</v>
      </c>
      <c r="X196" s="401">
        <v>58831.891587333143</v>
      </c>
      <c r="Y196" s="401">
        <v>60499.098014613577</v>
      </c>
      <c r="Z196" s="401">
        <v>60688.344035345646</v>
      </c>
      <c r="AA196" s="401">
        <v>60873.665366375841</v>
      </c>
      <c r="AB196" s="401">
        <v>61054.798208840693</v>
      </c>
      <c r="AC196" s="401">
        <v>61231.468641487525</v>
      </c>
      <c r="AD196" s="401">
        <v>61403.392283881753</v>
      </c>
      <c r="AE196" s="401">
        <v>61570.273949019254</v>
      </c>
      <c r="AF196" s="401">
        <v>61731.807285018724</v>
      </c>
      <c r="AG196" s="401">
        <v>61887.674405559388</v>
      </c>
      <c r="AH196" s="401">
        <v>62037.545508718264</v>
      </c>
      <c r="AI196" s="401">
        <v>62164.036975167059</v>
      </c>
      <c r="AJ196" s="401">
        <v>62246.969534391901</v>
      </c>
      <c r="AK196" s="401">
        <v>62317.007677623296</v>
      </c>
      <c r="AL196" s="401">
        <v>63606.554994567181</v>
      </c>
      <c r="AM196" s="82">
        <v>0</v>
      </c>
    </row>
    <row r="197" spans="1:40" ht="3.75" customHeight="1" collapsed="1">
      <c r="A197" s="84"/>
      <c r="D197" s="85"/>
      <c r="F197" s="81"/>
    </row>
    <row r="198" spans="1:40" s="85" customFormat="1" outlineLevel="1">
      <c r="A198" s="84"/>
      <c r="B198" s="18"/>
      <c r="C198" s="418"/>
      <c r="E198" s="257" t="s">
        <v>444</v>
      </c>
      <c r="F198" s="368"/>
      <c r="G198" s="369"/>
      <c r="H198" s="370"/>
      <c r="I198" s="369">
        <v>-81502.132893003567</v>
      </c>
      <c r="J198" s="369">
        <v>-38790.026507551069</v>
      </c>
      <c r="K198" s="369">
        <v>7759.1347365127149</v>
      </c>
      <c r="L198" s="369">
        <v>55824.128054527013</v>
      </c>
      <c r="M198" s="369">
        <v>104459.83628484372</v>
      </c>
      <c r="N198" s="369">
        <v>153815.98701267771</v>
      </c>
      <c r="O198" s="369">
        <v>203970.45849574677</v>
      </c>
      <c r="P198" s="369">
        <v>254981.16475195761</v>
      </c>
      <c r="Q198" s="369">
        <v>306912.75996564451</v>
      </c>
      <c r="R198" s="369">
        <v>359837.45400565921</v>
      </c>
      <c r="S198" s="369">
        <v>413791.62132683839</v>
      </c>
      <c r="T198" s="369">
        <v>468816.03962831321</v>
      </c>
      <c r="U198" s="369">
        <v>525003.46633046307</v>
      </c>
      <c r="V198" s="369">
        <v>582463.58751950925</v>
      </c>
      <c r="W198" s="369">
        <v>641319.36329600471</v>
      </c>
      <c r="X198" s="369">
        <v>700151.25488333788</v>
      </c>
      <c r="Y198" s="369">
        <v>760650.3528979515</v>
      </c>
      <c r="Z198" s="369">
        <v>821338.69693329709</v>
      </c>
      <c r="AA198" s="369">
        <v>882212.36229967291</v>
      </c>
      <c r="AB198" s="369">
        <v>943267.16050851357</v>
      </c>
      <c r="AC198" s="369">
        <v>1004498.6291500011</v>
      </c>
      <c r="AD198" s="369">
        <v>1065902.0214338829</v>
      </c>
      <c r="AE198" s="369">
        <v>1127472.295382902</v>
      </c>
      <c r="AF198" s="369">
        <v>1189204.1026679208</v>
      </c>
      <c r="AG198" s="369">
        <v>1251091.7770734802</v>
      </c>
      <c r="AH198" s="369">
        <v>1313129.3225821985</v>
      </c>
      <c r="AI198" s="369">
        <v>1375293.3595573655</v>
      </c>
      <c r="AJ198" s="369">
        <v>1437540.3290917575</v>
      </c>
      <c r="AK198" s="369">
        <v>1499857.3367693808</v>
      </c>
      <c r="AL198" s="369">
        <v>1563463.8917639479</v>
      </c>
      <c r="AN198" s="84"/>
    </row>
    <row r="199" spans="1:40" s="85" customFormat="1" outlineLevel="1">
      <c r="A199" s="84"/>
      <c r="B199" s="18"/>
      <c r="C199" s="418"/>
      <c r="E199" s="257"/>
      <c r="F199" s="368"/>
      <c r="G199" s="369"/>
      <c r="H199" s="370"/>
      <c r="I199" s="371">
        <v>0</v>
      </c>
      <c r="J199" s="371">
        <v>1.9081740468965196</v>
      </c>
      <c r="K199" s="371">
        <v>0.83331311393925056</v>
      </c>
      <c r="L199" s="371">
        <v>0</v>
      </c>
      <c r="M199" s="371">
        <v>0</v>
      </c>
      <c r="N199" s="371">
        <v>0</v>
      </c>
      <c r="O199" s="371">
        <v>0</v>
      </c>
      <c r="P199" s="371">
        <v>0</v>
      </c>
      <c r="Q199" s="371">
        <v>0</v>
      </c>
      <c r="R199" s="371">
        <v>0</v>
      </c>
      <c r="S199" s="371">
        <v>0</v>
      </c>
      <c r="T199" s="371">
        <v>0</v>
      </c>
      <c r="U199" s="371">
        <v>0</v>
      </c>
      <c r="V199" s="371">
        <v>0</v>
      </c>
      <c r="W199" s="371">
        <v>0</v>
      </c>
      <c r="X199" s="371">
        <v>0</v>
      </c>
      <c r="Y199" s="371">
        <v>0</v>
      </c>
      <c r="Z199" s="371">
        <v>0</v>
      </c>
      <c r="AA199" s="371">
        <v>0</v>
      </c>
      <c r="AB199" s="371">
        <v>0</v>
      </c>
      <c r="AC199" s="371">
        <v>0</v>
      </c>
      <c r="AD199" s="371">
        <v>0</v>
      </c>
      <c r="AE199" s="371">
        <v>0</v>
      </c>
      <c r="AF199" s="371">
        <v>0</v>
      </c>
      <c r="AG199" s="371">
        <v>0</v>
      </c>
      <c r="AH199" s="371">
        <v>0</v>
      </c>
      <c r="AI199" s="371">
        <v>0</v>
      </c>
      <c r="AJ199" s="371">
        <v>0</v>
      </c>
      <c r="AK199" s="371">
        <v>0</v>
      </c>
      <c r="AL199" s="371">
        <v>0</v>
      </c>
      <c r="AN199" s="84"/>
    </row>
    <row r="200" spans="1:40" s="85" customFormat="1" outlineLevel="1">
      <c r="A200" s="84"/>
      <c r="B200" s="18"/>
      <c r="C200" s="418"/>
      <c r="E200" s="257"/>
      <c r="F200" s="86"/>
      <c r="G200" s="372"/>
      <c r="I200" s="372">
        <v>1</v>
      </c>
      <c r="J200" s="372">
        <v>2</v>
      </c>
      <c r="K200" s="372">
        <v>2.8333131139392504</v>
      </c>
      <c r="L200" s="372">
        <v>2.8333131139392504</v>
      </c>
      <c r="M200" s="372">
        <v>2.8333131139392504</v>
      </c>
      <c r="N200" s="372">
        <v>2.8333131139392504</v>
      </c>
      <c r="O200" s="372">
        <v>2.8333131139392504</v>
      </c>
      <c r="P200" s="372">
        <v>2.8333131139392504</v>
      </c>
      <c r="Q200" s="372">
        <v>2.8333131139392504</v>
      </c>
      <c r="R200" s="372">
        <v>2.8333131139392504</v>
      </c>
      <c r="S200" s="372">
        <v>2.8333131139392504</v>
      </c>
      <c r="T200" s="372">
        <v>2.8333131139392504</v>
      </c>
      <c r="U200" s="372">
        <v>2.8333131139392504</v>
      </c>
      <c r="V200" s="372">
        <v>2.8333131139392504</v>
      </c>
      <c r="W200" s="372">
        <v>2.8333131139392504</v>
      </c>
      <c r="X200" s="372">
        <v>2.8333131139392504</v>
      </c>
      <c r="Y200" s="372">
        <v>2.8333131139392504</v>
      </c>
      <c r="Z200" s="372">
        <v>2.8333131139392504</v>
      </c>
      <c r="AA200" s="372">
        <v>2.8333131139392504</v>
      </c>
      <c r="AB200" s="372">
        <v>2.8333131139392504</v>
      </c>
      <c r="AC200" s="372">
        <v>2.8333131139392504</v>
      </c>
      <c r="AD200" s="372">
        <v>2.8333131139392504</v>
      </c>
      <c r="AE200" s="372">
        <v>2.8333131139392504</v>
      </c>
      <c r="AF200" s="372">
        <v>2.8333131139392504</v>
      </c>
      <c r="AG200" s="372">
        <v>2.8333131139392504</v>
      </c>
      <c r="AH200" s="372">
        <v>2.8333131139392504</v>
      </c>
      <c r="AI200" s="372">
        <v>2.8333131139392504</v>
      </c>
      <c r="AJ200" s="372">
        <v>2.8333131139392504</v>
      </c>
      <c r="AK200" s="372">
        <v>2.8333131139392504</v>
      </c>
      <c r="AL200" s="372">
        <v>2.8333131139392504</v>
      </c>
      <c r="AN200" s="84"/>
    </row>
    <row r="201" spans="1:40" ht="3.75" customHeight="1" outlineLevel="1" collapsed="1">
      <c r="A201" s="84"/>
      <c r="B201" s="85"/>
      <c r="C201" s="85"/>
      <c r="D201" s="85"/>
      <c r="F201" s="81"/>
    </row>
    <row r="202" spans="1:40">
      <c r="A202" s="84"/>
      <c r="C202" s="80"/>
      <c r="D202" s="85"/>
      <c r="E202" s="267" t="s">
        <v>240</v>
      </c>
      <c r="F202" s="268"/>
      <c r="G202" s="269"/>
      <c r="H202" s="269"/>
      <c r="I202" s="269">
        <v>0.13583668681911076</v>
      </c>
      <c r="J202" s="269">
        <v>0.28416236906114667</v>
      </c>
      <c r="K202" s="269">
        <v>0.31794403628833895</v>
      </c>
      <c r="L202" s="269">
        <v>0.34564131156447825</v>
      </c>
      <c r="M202" s="269">
        <v>0.36813270402626513</v>
      </c>
      <c r="N202" s="269">
        <v>0.39603677499214951</v>
      </c>
      <c r="O202" s="269">
        <v>0.4283642317399971</v>
      </c>
      <c r="P202" s="269">
        <v>0.46611934532834709</v>
      </c>
      <c r="Q202" s="269">
        <v>0.51069615292952131</v>
      </c>
      <c r="R202" s="269">
        <v>0.56399227851259071</v>
      </c>
      <c r="S202" s="269">
        <v>0.62796927813559444</v>
      </c>
      <c r="T202" s="269">
        <v>0.70619035683863596</v>
      </c>
      <c r="U202" s="269">
        <v>0.80475980416057635</v>
      </c>
      <c r="V202" s="269">
        <v>0.93228950853150383</v>
      </c>
      <c r="W202" s="269">
        <v>1.1028714449824182</v>
      </c>
      <c r="X202" s="269">
        <v>1.3528873745884979</v>
      </c>
      <c r="Y202" s="269">
        <v>1.4272884906414363</v>
      </c>
      <c r="Z202" s="269">
        <v>1.4691381376167387</v>
      </c>
      <c r="AA202" s="269">
        <v>1.5130969102269378</v>
      </c>
      <c r="AB202" s="269">
        <v>1.5593273920084607</v>
      </c>
      <c r="AC202" s="269">
        <v>1.6080096972613982</v>
      </c>
      <c r="AD202" s="269">
        <v>1.6593439266085981</v>
      </c>
      <c r="AE202" s="269">
        <v>1.7135530486933674</v>
      </c>
      <c r="AF202" s="269">
        <v>1.7708862969452424</v>
      </c>
      <c r="AG202" s="269">
        <v>1.8316231922096182</v>
      </c>
      <c r="AH202" s="269">
        <v>1.896078330144142</v>
      </c>
      <c r="AI202" s="269">
        <v>1.9639258165339366</v>
      </c>
      <c r="AJ202" s="269">
        <v>2.0346831359880722</v>
      </c>
      <c r="AK202" s="269">
        <v>2.1099692946759485</v>
      </c>
      <c r="AL202" s="269">
        <v>2.2392804425863662</v>
      </c>
    </row>
    <row r="203" spans="1:40" ht="3.75" customHeight="1">
      <c r="A203" s="84"/>
      <c r="C203" s="80"/>
      <c r="D203" s="85"/>
      <c r="F203" s="81"/>
    </row>
    <row r="204" spans="1:40">
      <c r="A204" s="84"/>
      <c r="C204" s="80"/>
      <c r="D204" s="85"/>
      <c r="E204" s="87" t="s">
        <v>241</v>
      </c>
      <c r="F204" s="373"/>
      <c r="G204" s="374"/>
      <c r="H204" s="374"/>
      <c r="I204" s="374">
        <v>124957</v>
      </c>
      <c r="J204" s="374">
        <v>138595.5627302223</v>
      </c>
      <c r="K204" s="374">
        <v>130803.64170464189</v>
      </c>
      <c r="L204" s="374">
        <v>124390.06561218979</v>
      </c>
      <c r="M204" s="374">
        <v>118003.71824625017</v>
      </c>
      <c r="N204" s="374">
        <v>111642.0671670219</v>
      </c>
      <c r="O204" s="374">
        <v>105171.28153131949</v>
      </c>
      <c r="P204" s="374">
        <v>98617.355536862204</v>
      </c>
      <c r="Q204" s="374">
        <v>91980.307501469637</v>
      </c>
      <c r="R204" s="374">
        <v>85260.156495214818</v>
      </c>
      <c r="S204" s="374">
        <v>78456.922366037805</v>
      </c>
      <c r="T204" s="374">
        <v>71576.078674052493</v>
      </c>
      <c r="U204" s="374">
        <v>64617.602245121343</v>
      </c>
      <c r="V204" s="374">
        <v>57576.433007518601</v>
      </c>
      <c r="W204" s="374">
        <v>50452.60396848595</v>
      </c>
      <c r="X204" s="374">
        <v>43246.149347170256</v>
      </c>
      <c r="Y204" s="374">
        <v>42186.637947641997</v>
      </c>
      <c r="Z204" s="374">
        <v>41127.87786648707</v>
      </c>
      <c r="AA204" s="374">
        <v>40069.907201676411</v>
      </c>
      <c r="AB204" s="374">
        <v>39012.765429419269</v>
      </c>
      <c r="AC204" s="374">
        <v>37956.493449040368</v>
      </c>
      <c r="AD204" s="374">
        <v>36901.133629255761</v>
      </c>
      <c r="AE204" s="374">
        <v>35846.729855890095</v>
      </c>
      <c r="AF204" s="374">
        <v>34793.327581079284</v>
      </c>
      <c r="AG204" s="374">
        <v>33740.973874003997</v>
      </c>
      <c r="AH204" s="374">
        <v>32689.717473200639</v>
      </c>
      <c r="AI204" s="374">
        <v>31639.608840497953</v>
      </c>
      <c r="AJ204" s="374">
        <v>30592.797633082504</v>
      </c>
      <c r="AK204" s="374">
        <v>29551.519716146016</v>
      </c>
      <c r="AL204" s="374">
        <v>28511.743155986824</v>
      </c>
    </row>
    <row r="205" spans="1:40">
      <c r="A205" s="84"/>
      <c r="C205" s="80"/>
      <c r="D205" s="85"/>
      <c r="E205" s="88" t="s">
        <v>242</v>
      </c>
      <c r="F205" s="375"/>
      <c r="G205" s="376"/>
      <c r="H205" s="376"/>
      <c r="I205" s="376">
        <v>24991.399999999998</v>
      </c>
      <c r="J205" s="376">
        <v>1249.57</v>
      </c>
      <c r="K205" s="376">
        <v>1249.57</v>
      </c>
      <c r="L205" s="376">
        <v>1249.57</v>
      </c>
      <c r="M205" s="376">
        <v>1249.57</v>
      </c>
      <c r="N205" s="376">
        <v>1249.57</v>
      </c>
      <c r="O205" s="376">
        <v>1249.57</v>
      </c>
      <c r="P205" s="376">
        <v>1249.57</v>
      </c>
      <c r="Q205" s="376">
        <v>1249.57</v>
      </c>
      <c r="R205" s="376">
        <v>1249.57</v>
      </c>
      <c r="S205" s="376">
        <v>1249.57</v>
      </c>
      <c r="T205" s="376">
        <v>1249.57</v>
      </c>
      <c r="U205" s="376">
        <v>1249.57</v>
      </c>
      <c r="V205" s="376">
        <v>1249.57</v>
      </c>
      <c r="W205" s="376">
        <v>1249.57</v>
      </c>
      <c r="X205" s="376">
        <v>1249.57</v>
      </c>
      <c r="Y205" s="376">
        <v>1249.57</v>
      </c>
      <c r="Z205" s="376">
        <v>1249.57</v>
      </c>
      <c r="AA205" s="376">
        <v>1249.57</v>
      </c>
      <c r="AB205" s="376">
        <v>1249.57</v>
      </c>
      <c r="AC205" s="376">
        <v>1249.57</v>
      </c>
      <c r="AD205" s="376">
        <v>1249.57</v>
      </c>
      <c r="AE205" s="376">
        <v>1249.57</v>
      </c>
      <c r="AF205" s="376">
        <v>1249.57</v>
      </c>
      <c r="AG205" s="376">
        <v>1249.57</v>
      </c>
      <c r="AH205" s="376">
        <v>1249.57</v>
      </c>
      <c r="AI205" s="376">
        <v>1249.57</v>
      </c>
      <c r="AJ205" s="376">
        <v>1249.57</v>
      </c>
      <c r="AK205" s="376">
        <v>1249.57</v>
      </c>
      <c r="AL205" s="376">
        <v>0</v>
      </c>
    </row>
    <row r="206" spans="1:40">
      <c r="A206" s="84"/>
      <c r="C206" s="80"/>
      <c r="E206" s="88" t="s">
        <v>243</v>
      </c>
      <c r="F206" s="375"/>
      <c r="G206" s="376"/>
      <c r="H206" s="376"/>
      <c r="I206" s="376">
        <v>-4072.8372697777068</v>
      </c>
      <c r="J206" s="376">
        <v>-1678.1863589137556</v>
      </c>
      <c r="K206" s="376">
        <v>-216.53675911878781</v>
      </c>
      <c r="L206" s="376">
        <v>-106.00336593962311</v>
      </c>
      <c r="M206" s="376">
        <v>1.9975874384035706</v>
      </c>
      <c r="N206" s="376">
        <v>-23.83230236909003</v>
      </c>
      <c r="O206" s="376">
        <v>-23.667994457300665</v>
      </c>
      <c r="P206" s="376">
        <v>-23.485368725898297</v>
      </c>
      <c r="Q206" s="376">
        <v>-23.283672921488687</v>
      </c>
      <c r="R206" s="376">
        <v>-23.062129177016686</v>
      </c>
      <c r="S206" s="376">
        <v>-17.367025318653759</v>
      </c>
      <c r="T206" s="376">
        <v>-11.695095597830004</v>
      </c>
      <c r="U206" s="376">
        <v>-11.08323760273197</v>
      </c>
      <c r="V206" s="376">
        <v>-10.438372365983014</v>
      </c>
      <c r="W206" s="376">
        <v>-9.7592879823678231</v>
      </c>
      <c r="X206" s="376">
        <v>-9.0447328615937295</v>
      </c>
      <c r="Y206" s="376">
        <v>-8.2934144882619876</v>
      </c>
      <c r="Z206" s="376">
        <v>-7.50399814398952</v>
      </c>
      <c r="AA206" s="376">
        <v>-6.6751055904769601</v>
      </c>
      <c r="AB206" s="376">
        <v>-5.8053137122315093</v>
      </c>
      <c r="AC206" s="376">
        <v>-4.8931531179387093</v>
      </c>
      <c r="AD206" s="376">
        <v>-3.9371066989970132</v>
      </c>
      <c r="AE206" s="376">
        <v>-2.9356081441474089</v>
      </c>
      <c r="AF206" s="376">
        <v>-1.8870404086173949</v>
      </c>
      <c r="AG206" s="376">
        <v>-0.78973413669518777</v>
      </c>
      <c r="AH206" s="376">
        <v>0.35803396397932374</v>
      </c>
      <c r="AI206" s="376">
        <v>3.6554592512202362</v>
      </c>
      <c r="AJ206" s="376">
        <v>9.188749730181371</v>
      </c>
      <c r="AK206" s="376">
        <v>10.690106507474411</v>
      </c>
      <c r="AL206" s="376">
        <v>12.255130888224812</v>
      </c>
    </row>
    <row r="207" spans="1:40">
      <c r="A207" s="84"/>
      <c r="C207" s="80"/>
      <c r="E207" s="88" t="s">
        <v>244</v>
      </c>
      <c r="F207" s="375"/>
      <c r="G207" s="376"/>
      <c r="H207" s="376"/>
      <c r="I207" s="376">
        <v>-7280</v>
      </c>
      <c r="J207" s="376">
        <v>-7363.3046666666669</v>
      </c>
      <c r="K207" s="376">
        <v>-7446.6093333333338</v>
      </c>
      <c r="L207" s="376">
        <v>-7529.9139999999998</v>
      </c>
      <c r="M207" s="376">
        <v>-7613.2186666666666</v>
      </c>
      <c r="N207" s="376">
        <v>-7696.5233333333335</v>
      </c>
      <c r="O207" s="376">
        <v>-7779.8279999999995</v>
      </c>
      <c r="P207" s="376">
        <v>-7863.1326666666664</v>
      </c>
      <c r="Q207" s="376">
        <v>-7946.4373333333333</v>
      </c>
      <c r="R207" s="376">
        <v>-8029.7420000000002</v>
      </c>
      <c r="S207" s="376">
        <v>-8113.0466666666671</v>
      </c>
      <c r="T207" s="376">
        <v>-8196.351333333334</v>
      </c>
      <c r="U207" s="376">
        <v>-8279.655999999999</v>
      </c>
      <c r="V207" s="376">
        <v>-8362.9606666666659</v>
      </c>
      <c r="W207" s="376">
        <v>-8446.2653333333328</v>
      </c>
      <c r="X207" s="376">
        <v>-2300.0366666666669</v>
      </c>
      <c r="Y207" s="376">
        <v>-2300.0366666666669</v>
      </c>
      <c r="Z207" s="376">
        <v>-2300.0366666666669</v>
      </c>
      <c r="AA207" s="376">
        <v>-2300.0366666666669</v>
      </c>
      <c r="AB207" s="376">
        <v>-2300.0366666666669</v>
      </c>
      <c r="AC207" s="376">
        <v>-2300.0366666666669</v>
      </c>
      <c r="AD207" s="376">
        <v>-2300.0366666666669</v>
      </c>
      <c r="AE207" s="376">
        <v>-2300.0366666666669</v>
      </c>
      <c r="AF207" s="376">
        <v>-2300.0366666666669</v>
      </c>
      <c r="AG207" s="376">
        <v>-2300.0366666666669</v>
      </c>
      <c r="AH207" s="376">
        <v>-2300.0366666666669</v>
      </c>
      <c r="AI207" s="376">
        <v>-2300.0366666666669</v>
      </c>
      <c r="AJ207" s="376">
        <v>-2300.0366666666669</v>
      </c>
      <c r="AK207" s="376">
        <v>-2300.0366666666669</v>
      </c>
      <c r="AL207" s="376">
        <v>-2216.732</v>
      </c>
    </row>
    <row r="208" spans="1:40">
      <c r="C208" s="80"/>
      <c r="E208" s="21" t="s">
        <v>245</v>
      </c>
      <c r="F208" s="375"/>
      <c r="G208" s="376"/>
      <c r="H208" s="376"/>
      <c r="I208" s="376">
        <v>138595.5627302223</v>
      </c>
      <c r="J208" s="376">
        <v>130803.64170464189</v>
      </c>
      <c r="K208" s="376">
        <v>124390.06561218979</v>
      </c>
      <c r="L208" s="376">
        <v>118003.71824625017</v>
      </c>
      <c r="M208" s="376">
        <v>111642.0671670219</v>
      </c>
      <c r="N208" s="376">
        <v>105171.28153131949</v>
      </c>
      <c r="O208" s="376">
        <v>98617.355536862204</v>
      </c>
      <c r="P208" s="376">
        <v>91980.307501469637</v>
      </c>
      <c r="Q208" s="376">
        <v>85260.156495214818</v>
      </c>
      <c r="R208" s="376">
        <v>78456.922366037805</v>
      </c>
      <c r="S208" s="376">
        <v>71576.078674052493</v>
      </c>
      <c r="T208" s="376">
        <v>64617.602245121343</v>
      </c>
      <c r="U208" s="376">
        <v>57576.433007518601</v>
      </c>
      <c r="V208" s="376">
        <v>50452.60396848595</v>
      </c>
      <c r="W208" s="376">
        <v>43246.149347170256</v>
      </c>
      <c r="X208" s="376">
        <v>42186.637947641997</v>
      </c>
      <c r="Y208" s="376">
        <v>41127.87786648707</v>
      </c>
      <c r="Z208" s="376">
        <v>40069.907201676411</v>
      </c>
      <c r="AA208" s="376">
        <v>39012.765429419269</v>
      </c>
      <c r="AB208" s="376">
        <v>37956.493449040368</v>
      </c>
      <c r="AC208" s="376">
        <v>36901.133629255761</v>
      </c>
      <c r="AD208" s="376">
        <v>35846.729855890095</v>
      </c>
      <c r="AE208" s="376">
        <v>34793.327581079284</v>
      </c>
      <c r="AF208" s="376">
        <v>33740.973874003997</v>
      </c>
      <c r="AG208" s="376">
        <v>32689.717473200639</v>
      </c>
      <c r="AH208" s="376">
        <v>31639.608840497953</v>
      </c>
      <c r="AI208" s="376">
        <v>30592.797633082504</v>
      </c>
      <c r="AJ208" s="376">
        <v>29551.519716146016</v>
      </c>
      <c r="AK208" s="376">
        <v>28511.743155986824</v>
      </c>
      <c r="AL208" s="376">
        <v>26307.266286875049</v>
      </c>
    </row>
    <row r="209" spans="3:39" ht="14.25" thickBot="1">
      <c r="C209" s="80"/>
      <c r="E209" s="89" t="s">
        <v>246</v>
      </c>
      <c r="F209" s="377"/>
      <c r="G209" s="378"/>
      <c r="H209" s="378"/>
      <c r="I209" s="378">
        <v>131776.28136511115</v>
      </c>
      <c r="J209" s="378">
        <v>134699.60221743211</v>
      </c>
      <c r="K209" s="378">
        <v>127596.85365841584</v>
      </c>
      <c r="L209" s="378">
        <v>121196.89192921997</v>
      </c>
      <c r="M209" s="378">
        <v>114822.89270663603</v>
      </c>
      <c r="N209" s="378">
        <v>108406.6743491707</v>
      </c>
      <c r="O209" s="378">
        <v>101894.31853409085</v>
      </c>
      <c r="P209" s="378">
        <v>95298.83151916592</v>
      </c>
      <c r="Q209" s="378">
        <v>88620.231998342235</v>
      </c>
      <c r="R209" s="378">
        <v>81858.539430626319</v>
      </c>
      <c r="S209" s="378">
        <v>75016.500520045141</v>
      </c>
      <c r="T209" s="378">
        <v>68096.840459586921</v>
      </c>
      <c r="U209" s="378">
        <v>61097.017626319968</v>
      </c>
      <c r="V209" s="378">
        <v>54014.518488002272</v>
      </c>
      <c r="W209" s="378">
        <v>46849.376657828107</v>
      </c>
      <c r="X209" s="378">
        <v>42716.393647406127</v>
      </c>
      <c r="Y209" s="378">
        <v>41657.25790706453</v>
      </c>
      <c r="Z209" s="378">
        <v>40598.892534081737</v>
      </c>
      <c r="AA209" s="378">
        <v>39541.336315547844</v>
      </c>
      <c r="AB209" s="378">
        <v>38484.629439229815</v>
      </c>
      <c r="AC209" s="378">
        <v>37428.813539148061</v>
      </c>
      <c r="AD209" s="378">
        <v>36373.931742572924</v>
      </c>
      <c r="AE209" s="378">
        <v>35320.028718484689</v>
      </c>
      <c r="AF209" s="378">
        <v>34267.150727541637</v>
      </c>
      <c r="AG209" s="378">
        <v>33215.345673602322</v>
      </c>
      <c r="AH209" s="378">
        <v>32164.663156849296</v>
      </c>
      <c r="AI209" s="378">
        <v>31116.203236790228</v>
      </c>
      <c r="AJ209" s="378">
        <v>30072.15867461426</v>
      </c>
      <c r="AK209" s="378">
        <v>29031.631436066418</v>
      </c>
      <c r="AL209" s="378">
        <v>27409.504721430938</v>
      </c>
    </row>
    <row r="210" spans="3:39" ht="3.75" customHeight="1">
      <c r="C210" s="80"/>
      <c r="E210" s="90"/>
      <c r="F210" s="81"/>
    </row>
    <row r="211" spans="3:39" collapsed="1">
      <c r="F211" s="402"/>
    </row>
    <row r="212" spans="3:39">
      <c r="E212" s="403" t="s">
        <v>538</v>
      </c>
      <c r="F212" s="403"/>
      <c r="G212" s="403"/>
      <c r="H212" s="403"/>
      <c r="I212" s="403"/>
      <c r="J212" s="403"/>
      <c r="K212" s="403"/>
      <c r="L212" s="403"/>
      <c r="M212" s="403"/>
      <c r="N212" s="403"/>
      <c r="O212" s="403"/>
      <c r="P212" s="403"/>
      <c r="Q212" s="403"/>
      <c r="R212" s="403"/>
      <c r="S212" s="403"/>
      <c r="T212" s="403"/>
      <c r="U212" s="403"/>
      <c r="V212" s="403"/>
      <c r="W212" s="403"/>
      <c r="X212" s="403"/>
      <c r="Y212" s="403"/>
      <c r="Z212" s="403"/>
      <c r="AA212" s="403"/>
      <c r="AB212" s="403"/>
      <c r="AC212" s="403"/>
      <c r="AD212" s="403"/>
      <c r="AE212" s="403"/>
      <c r="AF212" s="403"/>
      <c r="AG212" s="403"/>
      <c r="AH212" s="403"/>
      <c r="AI212" s="403"/>
      <c r="AJ212" s="403"/>
      <c r="AK212" s="403"/>
      <c r="AL212" s="403"/>
    </row>
    <row r="213" spans="3:39">
      <c r="E213" s="403" t="s">
        <v>538</v>
      </c>
      <c r="F213" s="403"/>
      <c r="G213" s="403"/>
      <c r="H213" s="403"/>
      <c r="I213" s="403"/>
      <c r="J213" s="403"/>
      <c r="K213" s="403"/>
      <c r="L213" s="403"/>
      <c r="M213" s="403"/>
      <c r="N213" s="403"/>
      <c r="O213" s="403"/>
      <c r="P213" s="403"/>
      <c r="Q213" s="403"/>
      <c r="R213" s="403"/>
      <c r="S213" s="403"/>
      <c r="T213" s="403"/>
      <c r="U213" s="403"/>
      <c r="V213" s="403"/>
      <c r="W213" s="403"/>
      <c r="X213" s="403"/>
      <c r="Y213" s="403"/>
      <c r="Z213" s="403"/>
      <c r="AA213" s="403"/>
      <c r="AB213" s="403"/>
      <c r="AC213" s="403"/>
      <c r="AD213" s="403"/>
      <c r="AE213" s="403"/>
      <c r="AF213" s="403"/>
      <c r="AG213" s="403"/>
      <c r="AH213" s="403"/>
      <c r="AI213" s="403"/>
      <c r="AJ213" s="403"/>
      <c r="AK213" s="403"/>
      <c r="AL213" s="403"/>
    </row>
    <row r="214" spans="3:39" ht="14.25" thickBot="1">
      <c r="C214" s="418"/>
      <c r="E214" s="399" t="s">
        <v>689</v>
      </c>
      <c r="F214" s="400">
        <v>4478.7732876712325</v>
      </c>
      <c r="G214" s="401">
        <v>-42588.747547945211</v>
      </c>
      <c r="H214" s="401">
        <v>-43610.302912602747</v>
      </c>
      <c r="I214" s="401">
        <v>218.1442798731523</v>
      </c>
      <c r="J214" s="401">
        <v>42712.106385452498</v>
      </c>
      <c r="K214" s="401">
        <v>46549.161244063784</v>
      </c>
      <c r="L214" s="401">
        <v>48064.993318014298</v>
      </c>
      <c r="M214" s="401">
        <v>48635.708230316712</v>
      </c>
      <c r="N214" s="401">
        <v>49356.150727833985</v>
      </c>
      <c r="O214" s="401">
        <v>50154.471483069079</v>
      </c>
      <c r="P214" s="401">
        <v>51010.706256210833</v>
      </c>
      <c r="Q214" s="401">
        <v>51931.595213686887</v>
      </c>
      <c r="R214" s="401">
        <v>52924.69404001467</v>
      </c>
      <c r="S214" s="401">
        <v>53954.167321179208</v>
      </c>
      <c r="T214" s="401">
        <v>55024.418301474849</v>
      </c>
      <c r="U214" s="401">
        <v>56187.426702149809</v>
      </c>
      <c r="V214" s="401">
        <v>57460.121189046156</v>
      </c>
      <c r="W214" s="401">
        <v>58855.775776495415</v>
      </c>
      <c r="X214" s="401">
        <v>58831.891587333143</v>
      </c>
      <c r="Y214" s="401">
        <v>60499.098014613577</v>
      </c>
      <c r="Z214" s="401">
        <v>60688.344035345646</v>
      </c>
      <c r="AA214" s="401">
        <v>60873.665366375841</v>
      </c>
      <c r="AB214" s="401">
        <v>61054.798208840693</v>
      </c>
      <c r="AC214" s="401">
        <v>61231.468641487525</v>
      </c>
      <c r="AD214" s="401">
        <v>61403.392283881753</v>
      </c>
      <c r="AE214" s="401">
        <v>61570.273949019254</v>
      </c>
      <c r="AF214" s="401">
        <v>61731.807285018724</v>
      </c>
      <c r="AG214" s="401">
        <v>61887.674405559388</v>
      </c>
      <c r="AH214" s="401">
        <v>62037.545508718264</v>
      </c>
      <c r="AI214" s="401">
        <v>62164.036975167059</v>
      </c>
      <c r="AJ214" s="401">
        <v>62246.969534391901</v>
      </c>
      <c r="AK214" s="401">
        <v>62317.007677623296</v>
      </c>
      <c r="AL214" s="401">
        <v>63606.554994567181</v>
      </c>
      <c r="AM214" s="82">
        <v>727941.6849378245</v>
      </c>
    </row>
    <row r="215" spans="3:39" ht="3" customHeight="1">
      <c r="C215" s="418"/>
    </row>
    <row r="216" spans="3:39" ht="14.25" thickBot="1">
      <c r="C216" s="418"/>
      <c r="E216" s="399" t="s">
        <v>690</v>
      </c>
      <c r="F216" s="400">
        <v>-72521.226712328775</v>
      </c>
      <c r="G216" s="400">
        <v>6144.4824520547927</v>
      </c>
      <c r="H216" s="400">
        <v>7622.0670873972558</v>
      </c>
      <c r="I216" s="400">
        <v>25209.544279873149</v>
      </c>
      <c r="J216" s="400">
        <v>39360.229871963995</v>
      </c>
      <c r="K216" s="400">
        <v>42795.059548956662</v>
      </c>
      <c r="L216" s="400">
        <v>43860.399419494323</v>
      </c>
      <c r="M216" s="400">
        <v>43926.563063974339</v>
      </c>
      <c r="N216" s="400">
        <v>44081.908141530526</v>
      </c>
      <c r="O216" s="400">
        <v>44247.319786409214</v>
      </c>
      <c r="P216" s="400">
        <v>44394.69635595179</v>
      </c>
      <c r="Q216" s="400">
        <v>44521.664125396754</v>
      </c>
      <c r="R216" s="400">
        <v>44625.571221129707</v>
      </c>
      <c r="S216" s="400">
        <v>44659.149764028058</v>
      </c>
      <c r="T216" s="400">
        <v>44613.998637465564</v>
      </c>
      <c r="U216" s="400">
        <v>44527.756678459409</v>
      </c>
      <c r="V216" s="400">
        <v>44401.290762512916</v>
      </c>
      <c r="W216" s="400">
        <v>44229.885698778176</v>
      </c>
      <c r="X216" s="400">
        <v>42450.894700289835</v>
      </c>
      <c r="Y216" s="400">
        <v>60499.098014613577</v>
      </c>
      <c r="Z216" s="400">
        <v>60688.344035345639</v>
      </c>
      <c r="AA216" s="400">
        <v>60873.665366375833</v>
      </c>
      <c r="AB216" s="400">
        <v>61054.798208840693</v>
      </c>
      <c r="AC216" s="400">
        <v>61231.468641487532</v>
      </c>
      <c r="AD216" s="400">
        <v>61403.392283881753</v>
      </c>
      <c r="AE216" s="400">
        <v>61570.273949019254</v>
      </c>
      <c r="AF216" s="400">
        <v>61731.807285018731</v>
      </c>
      <c r="AG216" s="400">
        <v>61887.674405559381</v>
      </c>
      <c r="AH216" s="400">
        <v>62037.545508718271</v>
      </c>
      <c r="AI216" s="400">
        <v>62164.036975167059</v>
      </c>
      <c r="AJ216" s="400">
        <v>62246.969534391894</v>
      </c>
      <c r="AK216" s="400">
        <v>62317.007677623296</v>
      </c>
      <c r="AL216" s="400">
        <v>63606.554994567181</v>
      </c>
      <c r="AM216" s="82">
        <v>727941.6849378245</v>
      </c>
    </row>
    <row r="217" spans="3:39">
      <c r="E217" s="542" t="s">
        <v>413</v>
      </c>
      <c r="F217" s="543">
        <v>4478.7732876712316</v>
      </c>
      <c r="G217" s="381">
        <v>6144.4824520547927</v>
      </c>
      <c r="H217" s="381">
        <v>7622.0670873972558</v>
      </c>
      <c r="I217" s="381">
        <v>25209.544279873149</v>
      </c>
      <c r="J217" s="381">
        <v>43961.676385452491</v>
      </c>
      <c r="K217" s="381">
        <v>47798.731244063783</v>
      </c>
      <c r="L217" s="381">
        <v>49314.563318014298</v>
      </c>
      <c r="M217" s="381">
        <v>49885.278230316704</v>
      </c>
      <c r="N217" s="381">
        <v>50605.720727833977</v>
      </c>
      <c r="O217" s="381">
        <v>51404.041483069079</v>
      </c>
      <c r="P217" s="381">
        <v>52260.27625621084</v>
      </c>
      <c r="Q217" s="381">
        <v>53181.165213686887</v>
      </c>
      <c r="R217" s="381">
        <v>54174.264040014663</v>
      </c>
      <c r="S217" s="381">
        <v>55203.7373211792</v>
      </c>
      <c r="T217" s="381">
        <v>56273.988301474848</v>
      </c>
      <c r="U217" s="381">
        <v>57436.996702149809</v>
      </c>
      <c r="V217" s="381">
        <v>58709.691189046156</v>
      </c>
      <c r="W217" s="381">
        <v>60105.345776495415</v>
      </c>
      <c r="X217" s="381">
        <v>60081.461587333135</v>
      </c>
      <c r="Y217" s="381">
        <v>61748.668014613577</v>
      </c>
      <c r="Z217" s="381">
        <v>61937.914035345639</v>
      </c>
      <c r="AA217" s="381">
        <v>62123.235366375833</v>
      </c>
      <c r="AB217" s="381">
        <v>62304.368208840693</v>
      </c>
      <c r="AC217" s="381">
        <v>62481.038641487532</v>
      </c>
      <c r="AD217" s="381">
        <v>62652.962283881752</v>
      </c>
      <c r="AE217" s="381">
        <v>62819.843949019254</v>
      </c>
      <c r="AF217" s="381">
        <v>62981.377285018731</v>
      </c>
      <c r="AG217" s="381">
        <v>63137.244405559381</v>
      </c>
      <c r="AH217" s="381">
        <v>63287.115508718271</v>
      </c>
      <c r="AI217" s="381">
        <v>63413.606975167058</v>
      </c>
      <c r="AJ217" s="381">
        <v>63496.539534391894</v>
      </c>
      <c r="AK217" s="381">
        <v>63566.577677623296</v>
      </c>
      <c r="AL217" s="381">
        <v>63606.554994567181</v>
      </c>
    </row>
    <row r="218" spans="3:39">
      <c r="E218" s="542" t="s">
        <v>691</v>
      </c>
      <c r="F218" s="544">
        <v>-77000</v>
      </c>
      <c r="G218" s="381">
        <v>0</v>
      </c>
      <c r="H218" s="381">
        <v>0</v>
      </c>
      <c r="I218" s="381">
        <v>0</v>
      </c>
      <c r="J218" s="381">
        <v>-1249.57</v>
      </c>
      <c r="K218" s="381">
        <v>-1249.57</v>
      </c>
      <c r="L218" s="381">
        <v>-1249.57</v>
      </c>
      <c r="M218" s="381">
        <v>-1249.57</v>
      </c>
      <c r="N218" s="381">
        <v>-1249.57</v>
      </c>
      <c r="O218" s="381">
        <v>-1249.57</v>
      </c>
      <c r="P218" s="381">
        <v>-1249.57</v>
      </c>
      <c r="Q218" s="381">
        <v>-1249.57</v>
      </c>
      <c r="R218" s="381">
        <v>-1249.57</v>
      </c>
      <c r="S218" s="381">
        <v>-1249.57</v>
      </c>
      <c r="T218" s="381">
        <v>-1249.57</v>
      </c>
      <c r="U218" s="381">
        <v>-1249.57</v>
      </c>
      <c r="V218" s="381">
        <v>-1249.57</v>
      </c>
      <c r="W218" s="381">
        <v>-1249.57</v>
      </c>
      <c r="X218" s="381">
        <v>-1249.57</v>
      </c>
      <c r="Y218" s="381">
        <v>-1249.57</v>
      </c>
      <c r="Z218" s="381">
        <v>-1249.57</v>
      </c>
      <c r="AA218" s="381">
        <v>-1249.57</v>
      </c>
      <c r="AB218" s="381">
        <v>-1249.57</v>
      </c>
      <c r="AC218" s="381">
        <v>-1249.57</v>
      </c>
      <c r="AD218" s="381">
        <v>-1249.57</v>
      </c>
      <c r="AE218" s="381">
        <v>-1249.57</v>
      </c>
      <c r="AF218" s="381">
        <v>-1249.57</v>
      </c>
      <c r="AG218" s="381">
        <v>-1249.57</v>
      </c>
      <c r="AH218" s="381">
        <v>-1249.57</v>
      </c>
      <c r="AI218" s="381">
        <v>-1249.57</v>
      </c>
      <c r="AJ218" s="381">
        <v>-1249.57</v>
      </c>
      <c r="AK218" s="381">
        <v>-1249.57</v>
      </c>
      <c r="AL218" s="381">
        <v>0</v>
      </c>
    </row>
    <row r="219" spans="3:39" ht="14.25" thickBot="1">
      <c r="E219" s="545" t="s">
        <v>416</v>
      </c>
      <c r="F219" s="546">
        <v>0</v>
      </c>
      <c r="G219" s="547">
        <v>0</v>
      </c>
      <c r="H219" s="547">
        <v>0</v>
      </c>
      <c r="I219" s="547">
        <v>0</v>
      </c>
      <c r="J219" s="547">
        <v>-3351.8765134884984</v>
      </c>
      <c r="K219" s="547">
        <v>-3754.1016951071178</v>
      </c>
      <c r="L219" s="547">
        <v>-4204.5938985199728</v>
      </c>
      <c r="M219" s="547">
        <v>-4709.1451663423677</v>
      </c>
      <c r="N219" s="547">
        <v>-5274.2425863034523</v>
      </c>
      <c r="O219" s="547">
        <v>-5907.1516966598656</v>
      </c>
      <c r="P219" s="547">
        <v>-6616.0099002590496</v>
      </c>
      <c r="Q219" s="547">
        <v>-7409.9310882901364</v>
      </c>
      <c r="R219" s="547">
        <v>-8299.1228188849527</v>
      </c>
      <c r="S219" s="547">
        <v>-9295.0175571511463</v>
      </c>
      <c r="T219" s="547">
        <v>-10410.419664009285</v>
      </c>
      <c r="U219" s="547">
        <v>-11659.670023690396</v>
      </c>
      <c r="V219" s="547">
        <v>-13058.830426533244</v>
      </c>
      <c r="W219" s="547">
        <v>-14625.890077717235</v>
      </c>
      <c r="X219" s="547">
        <v>-16380.996887043302</v>
      </c>
      <c r="Y219" s="547">
        <v>0</v>
      </c>
      <c r="Z219" s="547">
        <v>0</v>
      </c>
      <c r="AA219" s="547">
        <v>0</v>
      </c>
      <c r="AB219" s="547">
        <v>0</v>
      </c>
      <c r="AC219" s="547">
        <v>0</v>
      </c>
      <c r="AD219" s="547">
        <v>0</v>
      </c>
      <c r="AE219" s="547">
        <v>0</v>
      </c>
      <c r="AF219" s="547">
        <v>0</v>
      </c>
      <c r="AG219" s="547">
        <v>0</v>
      </c>
      <c r="AH219" s="547">
        <v>0</v>
      </c>
      <c r="AI219" s="547">
        <v>0</v>
      </c>
      <c r="AJ219" s="547">
        <v>0</v>
      </c>
      <c r="AK219" s="547">
        <v>0</v>
      </c>
      <c r="AL219" s="547">
        <v>0</v>
      </c>
    </row>
    <row r="220" spans="3:39" ht="3.75" customHeight="1"/>
    <row r="221" spans="3:39">
      <c r="E221" s="18" t="s">
        <v>247</v>
      </c>
    </row>
    <row r="222" spans="3:39">
      <c r="E222" s="18" t="s">
        <v>248</v>
      </c>
      <c r="F222" s="381"/>
      <c r="G222" s="381">
        <v>0</v>
      </c>
      <c r="H222" s="381">
        <v>0</v>
      </c>
      <c r="I222" s="381">
        <v>35044.533654794519</v>
      </c>
      <c r="J222" s="381">
        <v>98102.607342465752</v>
      </c>
      <c r="K222" s="381">
        <v>99811.712</v>
      </c>
      <c r="L222" s="381">
        <v>99811.712</v>
      </c>
      <c r="M222" s="381">
        <v>99811.712</v>
      </c>
      <c r="N222" s="381">
        <v>99811.712</v>
      </c>
      <c r="O222" s="381">
        <v>99811.712</v>
      </c>
      <c r="P222" s="381">
        <v>99811.712</v>
      </c>
      <c r="Q222" s="381">
        <v>99811.712</v>
      </c>
      <c r="R222" s="381">
        <v>99811.712</v>
      </c>
      <c r="S222" s="381">
        <v>99811.712</v>
      </c>
      <c r="T222" s="381">
        <v>99811.712</v>
      </c>
      <c r="U222" s="381">
        <v>99811.712</v>
      </c>
      <c r="V222" s="381">
        <v>99811.712</v>
      </c>
      <c r="W222" s="381">
        <v>99811.712</v>
      </c>
      <c r="X222" s="381">
        <v>99811.712</v>
      </c>
      <c r="Y222" s="381">
        <v>99811.712</v>
      </c>
      <c r="Z222" s="381">
        <v>99811.712</v>
      </c>
      <c r="AA222" s="381">
        <v>99811.712</v>
      </c>
      <c r="AB222" s="381">
        <v>99811.712</v>
      </c>
      <c r="AC222" s="381">
        <v>99811.712</v>
      </c>
      <c r="AD222" s="381">
        <v>99811.712</v>
      </c>
      <c r="AE222" s="381">
        <v>99811.712</v>
      </c>
      <c r="AF222" s="381">
        <v>99811.712</v>
      </c>
      <c r="AG222" s="381">
        <v>99811.712</v>
      </c>
      <c r="AH222" s="381">
        <v>99811.712</v>
      </c>
      <c r="AI222" s="381">
        <v>99811.712</v>
      </c>
      <c r="AJ222" s="381">
        <v>99811.712</v>
      </c>
      <c r="AK222" s="381">
        <v>99811.712</v>
      </c>
      <c r="AL222" s="381">
        <v>99811.712</v>
      </c>
    </row>
    <row r="223" spans="3:39">
      <c r="E223" s="18" t="s">
        <v>249</v>
      </c>
      <c r="F223" s="381"/>
      <c r="G223" s="381">
        <v>9180</v>
      </c>
      <c r="H223" s="381">
        <v>9363.6</v>
      </c>
      <c r="I223" s="381">
        <v>9550.8720000000012</v>
      </c>
      <c r="J223" s="381">
        <v>9741.8894400000008</v>
      </c>
      <c r="K223" s="381">
        <v>9936.7272288000004</v>
      </c>
      <c r="L223" s="381">
        <v>10234.829045664001</v>
      </c>
      <c r="M223" s="381">
        <v>10541.873917033921</v>
      </c>
      <c r="N223" s="381">
        <v>10858.130134544937</v>
      </c>
      <c r="O223" s="381">
        <v>11183.874038581287</v>
      </c>
      <c r="P223" s="381">
        <v>11519.390259738726</v>
      </c>
      <c r="Q223" s="381">
        <v>11864.971967530886</v>
      </c>
      <c r="R223" s="381">
        <v>12220.921126556814</v>
      </c>
      <c r="S223" s="381">
        <v>12397.959183673469</v>
      </c>
      <c r="T223" s="381">
        <v>12397.959183673469</v>
      </c>
      <c r="U223" s="381">
        <v>12397.959183673469</v>
      </c>
      <c r="V223" s="381">
        <v>12397.959183673469</v>
      </c>
      <c r="W223" s="381">
        <v>12397.959183673469</v>
      </c>
      <c r="X223" s="381">
        <v>12397.959183673469</v>
      </c>
      <c r="Y223" s="381">
        <v>12397.959183673469</v>
      </c>
      <c r="Z223" s="381">
        <v>12397.959183673469</v>
      </c>
      <c r="AA223" s="381">
        <v>12397.959183673469</v>
      </c>
      <c r="AB223" s="381">
        <v>12397.959183673469</v>
      </c>
      <c r="AC223" s="381">
        <v>12397.959183673469</v>
      </c>
      <c r="AD223" s="381">
        <v>12397.959183673469</v>
      </c>
      <c r="AE223" s="381">
        <v>12397.959183673469</v>
      </c>
      <c r="AF223" s="381">
        <v>12397.959183673469</v>
      </c>
      <c r="AG223" s="381">
        <v>12397.959183673469</v>
      </c>
      <c r="AH223" s="381">
        <v>12397.959183673469</v>
      </c>
      <c r="AI223" s="381">
        <v>12397.959183673469</v>
      </c>
      <c r="AJ223" s="381">
        <v>12397.959183673469</v>
      </c>
      <c r="AK223" s="381">
        <v>12397.959183673469</v>
      </c>
      <c r="AL223" s="381">
        <v>12397.959183673469</v>
      </c>
    </row>
    <row r="224" spans="3:39">
      <c r="E224" s="18" t="s">
        <v>250</v>
      </c>
      <c r="F224" s="381"/>
      <c r="G224" s="381">
        <v>3357.8399999999997</v>
      </c>
      <c r="H224" s="381">
        <v>3424.9967999999994</v>
      </c>
      <c r="I224" s="381">
        <v>3493.4967359999996</v>
      </c>
      <c r="J224" s="381">
        <v>3563.3666707199995</v>
      </c>
      <c r="K224" s="381">
        <v>3634.6340041343997</v>
      </c>
      <c r="L224" s="381">
        <v>3743.6730242584317</v>
      </c>
      <c r="M224" s="381">
        <v>3855.9832149861854</v>
      </c>
      <c r="N224" s="381">
        <v>3971.6627114357711</v>
      </c>
      <c r="O224" s="381">
        <v>4090.8125927788442</v>
      </c>
      <c r="P224" s="381">
        <v>4213.5369705622097</v>
      </c>
      <c r="Q224" s="381">
        <v>4339.9430796790766</v>
      </c>
      <c r="R224" s="381">
        <v>4470.1413720694491</v>
      </c>
      <c r="S224" s="381">
        <v>4604.2456132315328</v>
      </c>
      <c r="T224" s="381">
        <v>4742.3729816284795</v>
      </c>
      <c r="U224" s="381">
        <v>4884.6441710773342</v>
      </c>
      <c r="V224" s="381">
        <v>5031.1834962096545</v>
      </c>
      <c r="W224" s="381">
        <v>5182.1190010959444</v>
      </c>
      <c r="X224" s="381">
        <v>5337.5825711288226</v>
      </c>
      <c r="Y224" s="381">
        <v>5497.7100482626875</v>
      </c>
      <c r="Z224" s="381">
        <v>5662.6413497105686</v>
      </c>
      <c r="AA224" s="381">
        <v>5832.5205902018861</v>
      </c>
      <c r="AB224" s="381">
        <v>6007.4962079079423</v>
      </c>
      <c r="AC224" s="381">
        <v>6187.7210941451813</v>
      </c>
      <c r="AD224" s="381">
        <v>6373.352726969536</v>
      </c>
      <c r="AE224" s="381">
        <v>6564.5533087786225</v>
      </c>
      <c r="AF224" s="381">
        <v>6761.4899080419809</v>
      </c>
      <c r="AG224" s="381">
        <v>6964.3346052832403</v>
      </c>
      <c r="AH224" s="381">
        <v>7173.2646434417375</v>
      </c>
      <c r="AI224" s="381">
        <v>7315.5555555555557</v>
      </c>
      <c r="AJ224" s="381">
        <v>7315.5555555555557</v>
      </c>
      <c r="AK224" s="381">
        <v>7315.5555555555557</v>
      </c>
      <c r="AL224" s="381">
        <v>7315.5555555555557</v>
      </c>
    </row>
    <row r="225" spans="5:38">
      <c r="E225" s="18" t="s">
        <v>251</v>
      </c>
      <c r="F225" s="381"/>
      <c r="G225" s="381">
        <v>0</v>
      </c>
      <c r="H225" s="381">
        <v>0</v>
      </c>
      <c r="I225" s="381">
        <v>5331.7754774794521</v>
      </c>
      <c r="J225" s="381">
        <v>15383.83507989041</v>
      </c>
      <c r="K225" s="381">
        <v>15662.760959999998</v>
      </c>
      <c r="L225" s="381">
        <v>15662.760959999998</v>
      </c>
      <c r="M225" s="381">
        <v>15662.760959999998</v>
      </c>
      <c r="N225" s="381">
        <v>15662.760959999998</v>
      </c>
      <c r="O225" s="381">
        <v>15662.760959999998</v>
      </c>
      <c r="P225" s="381">
        <v>15662.760959999998</v>
      </c>
      <c r="Q225" s="381">
        <v>15662.760959999998</v>
      </c>
      <c r="R225" s="381">
        <v>15662.760959999998</v>
      </c>
      <c r="S225" s="381">
        <v>15662.760959999998</v>
      </c>
      <c r="T225" s="381">
        <v>15662.760959999998</v>
      </c>
      <c r="U225" s="381">
        <v>15662.760959999998</v>
      </c>
      <c r="V225" s="381">
        <v>15662.760959999998</v>
      </c>
      <c r="W225" s="381">
        <v>15662.760959999998</v>
      </c>
      <c r="X225" s="381">
        <v>15662.760959999998</v>
      </c>
      <c r="Y225" s="381">
        <v>15662.760959999998</v>
      </c>
      <c r="Z225" s="381">
        <v>15662.760959999998</v>
      </c>
      <c r="AA225" s="381">
        <v>15662.760959999998</v>
      </c>
      <c r="AB225" s="381">
        <v>15662.760959999998</v>
      </c>
      <c r="AC225" s="381">
        <v>15662.760959999998</v>
      </c>
      <c r="AD225" s="381">
        <v>15662.760959999998</v>
      </c>
      <c r="AE225" s="381">
        <v>15662.760959999998</v>
      </c>
      <c r="AF225" s="381">
        <v>15662.760959999998</v>
      </c>
      <c r="AG225" s="381">
        <v>15662.760959999998</v>
      </c>
      <c r="AH225" s="381">
        <v>15662.760959999998</v>
      </c>
      <c r="AI225" s="381">
        <v>15662.760959999998</v>
      </c>
      <c r="AJ225" s="381">
        <v>15662.760959999998</v>
      </c>
      <c r="AK225" s="381">
        <v>15662.760959999998</v>
      </c>
      <c r="AL225" s="381">
        <v>15662.760959999998</v>
      </c>
    </row>
    <row r="226" spans="5:38">
      <c r="E226" s="18" t="s">
        <v>94</v>
      </c>
      <c r="F226" s="381"/>
      <c r="G226" s="381">
        <v>53496.34</v>
      </c>
      <c r="H226" s="381">
        <v>57842.946799999998</v>
      </c>
      <c r="I226" s="381">
        <v>102980.46286827399</v>
      </c>
      <c r="J226" s="381">
        <v>181307.46203307618</v>
      </c>
      <c r="K226" s="381">
        <v>186287.38586793441</v>
      </c>
      <c r="L226" s="381">
        <v>189556.60428867242</v>
      </c>
      <c r="M226" s="381">
        <v>189072.3300920201</v>
      </c>
      <c r="N226" s="381">
        <v>189504.26580598071</v>
      </c>
      <c r="O226" s="381">
        <v>189949.15959136013</v>
      </c>
      <c r="P226" s="381">
        <v>190407.40019030092</v>
      </c>
      <c r="Q226" s="381">
        <v>190879.38800720996</v>
      </c>
      <c r="R226" s="381">
        <v>191365.53545862625</v>
      </c>
      <c r="S226" s="381">
        <v>191676.677756905</v>
      </c>
      <c r="T226" s="381">
        <v>191814.80512530197</v>
      </c>
      <c r="U226" s="381">
        <v>191957.0763147508</v>
      </c>
      <c r="V226" s="381">
        <v>192103.61563988312</v>
      </c>
      <c r="W226" s="381">
        <v>192254.55114476942</v>
      </c>
      <c r="X226" s="381">
        <v>192410.0147148023</v>
      </c>
      <c r="Y226" s="381">
        <v>192570.14219193617</v>
      </c>
      <c r="Z226" s="381">
        <v>192735.07349338406</v>
      </c>
      <c r="AA226" s="381">
        <v>192904.95273387537</v>
      </c>
      <c r="AB226" s="381">
        <v>193079.92835158142</v>
      </c>
      <c r="AC226" s="381">
        <v>193260.15323781865</v>
      </c>
      <c r="AD226" s="381">
        <v>193445.78487064302</v>
      </c>
      <c r="AE226" s="381">
        <v>193636.98545245209</v>
      </c>
      <c r="AF226" s="381">
        <v>193833.92205171546</v>
      </c>
      <c r="AG226" s="381">
        <v>194036.76674895672</v>
      </c>
      <c r="AH226" s="381">
        <v>194245.69678711522</v>
      </c>
      <c r="AI226" s="381">
        <v>194387.98769922904</v>
      </c>
      <c r="AJ226" s="381">
        <v>194387.98769922904</v>
      </c>
      <c r="AK226" s="381">
        <v>194387.98769922904</v>
      </c>
      <c r="AL226" s="381">
        <v>194387.98769922904</v>
      </c>
    </row>
    <row r="227" spans="5:38">
      <c r="E227" s="18" t="s">
        <v>81</v>
      </c>
      <c r="F227" s="381"/>
      <c r="G227" s="381">
        <v>7232.2229999999972</v>
      </c>
      <c r="H227" s="381">
        <v>8403.4428599999956</v>
      </c>
      <c r="I227" s="381">
        <v>31146.737949306167</v>
      </c>
      <c r="J227" s="381">
        <v>73393.555436932787</v>
      </c>
      <c r="K227" s="381">
        <v>76130.769044847024</v>
      </c>
      <c r="L227" s="381">
        <v>77526.240193573758</v>
      </c>
      <c r="M227" s="381">
        <v>77610.872648761651</v>
      </c>
      <c r="N227" s="381">
        <v>78013.036856344697</v>
      </c>
      <c r="O227" s="381">
        <v>78416.568120197131</v>
      </c>
      <c r="P227" s="381">
        <v>78821.344557589546</v>
      </c>
      <c r="Q227" s="381">
        <v>79227.238162898415</v>
      </c>
      <c r="R227" s="381">
        <v>79634.114586859127</v>
      </c>
      <c r="S227" s="381">
        <v>79975.489196112263</v>
      </c>
      <c r="T227" s="381">
        <v>80251.757601131685</v>
      </c>
      <c r="U227" s="381">
        <v>80524.601076134815</v>
      </c>
      <c r="V227" s="381">
        <v>80793.738613282549</v>
      </c>
      <c r="W227" s="381">
        <v>81058.878077297195</v>
      </c>
      <c r="X227" s="381">
        <v>81319.715831149282</v>
      </c>
      <c r="Y227" s="381">
        <v>81575.936349913565</v>
      </c>
      <c r="Z227" s="381">
        <v>81827.211822430618</v>
      </c>
      <c r="AA227" s="381">
        <v>82073.201740399527</v>
      </c>
      <c r="AB227" s="381">
        <v>82313.552474515018</v>
      </c>
      <c r="AC227" s="381">
        <v>82547.896837251727</v>
      </c>
      <c r="AD227" s="381">
        <v>82775.853631885446</v>
      </c>
      <c r="AE227" s="381">
        <v>82997.027187328975</v>
      </c>
      <c r="AF227" s="381">
        <v>83211.006878347573</v>
      </c>
      <c r="AG227" s="381">
        <v>83417.366630705888</v>
      </c>
      <c r="AH227" s="381">
        <v>83615.664410783487</v>
      </c>
      <c r="AI227" s="381">
        <v>83779.923132332231</v>
      </c>
      <c r="AJ227" s="381">
        <v>83883.122157326725</v>
      </c>
      <c r="AK227" s="381">
        <v>83974.504539265545</v>
      </c>
      <c r="AL227" s="381">
        <v>84053.48915157195</v>
      </c>
    </row>
    <row r="228" spans="5:38">
      <c r="E228" s="18" t="s">
        <v>252</v>
      </c>
      <c r="F228" s="258"/>
      <c r="G228" s="258">
        <v>0.13519098689742134</v>
      </c>
      <c r="H228" s="258">
        <v>0.14528033796507747</v>
      </c>
      <c r="I228" s="258">
        <v>0.30245288360324307</v>
      </c>
      <c r="J228" s="258">
        <v>0.4048016260000567</v>
      </c>
      <c r="K228" s="258">
        <v>0.40867377407302696</v>
      </c>
      <c r="L228" s="258">
        <v>0.40898728105252619</v>
      </c>
      <c r="M228" s="258">
        <v>0.41048244664350947</v>
      </c>
      <c r="N228" s="258">
        <v>0.41166902773690817</v>
      </c>
      <c r="O228" s="258">
        <v>0.41282924488266026</v>
      </c>
      <c r="P228" s="258">
        <v>0.41396156073142265</v>
      </c>
      <c r="Q228" s="258">
        <v>0.4150643974188864</v>
      </c>
      <c r="R228" s="258">
        <v>0.41613613650968118</v>
      </c>
      <c r="S228" s="258">
        <v>0.41724162862182751</v>
      </c>
      <c r="T228" s="258">
        <v>0.41838145678435856</v>
      </c>
      <c r="U228" s="258">
        <v>0.41949274609756576</v>
      </c>
      <c r="V228" s="258">
        <v>0.4205737530975901</v>
      </c>
      <c r="W228" s="258">
        <v>0.42162267470203674</v>
      </c>
      <c r="X228" s="258">
        <v>0.42263764675494969</v>
      </c>
      <c r="Y228" s="258">
        <v>0.42361674256129589</v>
      </c>
      <c r="Z228" s="258">
        <v>0.42455797141270951</v>
      </c>
      <c r="AA228" s="258">
        <v>0.42545927710640336</v>
      </c>
      <c r="AB228" s="258">
        <v>0.42631853645931206</v>
      </c>
      <c r="AC228" s="258">
        <v>0.42713355781970946</v>
      </c>
      <c r="AD228" s="258">
        <v>0.42790207957871795</v>
      </c>
      <c r="AE228" s="258">
        <v>0.4286217686843149</v>
      </c>
      <c r="AF228" s="258">
        <v>0.4292902191606412</v>
      </c>
      <c r="AG228" s="258">
        <v>0.42990495063562173</v>
      </c>
      <c r="AH228" s="258">
        <v>0.43046340688011531</v>
      </c>
      <c r="AI228" s="258">
        <v>0.43099331457642592</v>
      </c>
      <c r="AJ228" s="258">
        <v>0.43152420656319912</v>
      </c>
      <c r="AK228" s="258">
        <v>0.43199430959281748</v>
      </c>
      <c r="AL228" s="258">
        <v>0.43240063414631108</v>
      </c>
    </row>
    <row r="230" spans="5:38">
      <c r="G230" s="381"/>
      <c r="I230" s="381"/>
      <c r="J230" s="381"/>
      <c r="K230" s="381"/>
      <c r="L230" s="381"/>
      <c r="M230" s="381"/>
      <c r="N230" s="381"/>
      <c r="O230" s="381"/>
      <c r="P230" s="381"/>
      <c r="Q230" s="381"/>
      <c r="R230" s="381"/>
    </row>
    <row r="231" spans="5:38">
      <c r="G231" s="259"/>
      <c r="I231" s="259"/>
      <c r="J231" s="259"/>
      <c r="K231" s="259"/>
      <c r="L231" s="259"/>
      <c r="M231" s="259"/>
      <c r="N231" s="259"/>
      <c r="O231" s="259"/>
      <c r="P231" s="259"/>
      <c r="Q231" s="259"/>
      <c r="R231" s="259"/>
    </row>
  </sheetData>
  <conditionalFormatting sqref="G139">
    <cfRule type="cellIs" dxfId="1" priority="1" operator="lessThan">
      <formula>0</formula>
    </cfRule>
  </conditionalFormatting>
  <conditionalFormatting sqref="I139:AL139">
    <cfRule type="cellIs" dxfId="0" priority="2" operator="lessThan">
      <formula>0</formula>
    </cfRule>
  </conditionalFormatting>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10034-B8D9-4514-BC7A-57AF82225695}">
  <sheetPr>
    <tabColor theme="3" tint="0.79998168889431442"/>
  </sheetPr>
  <dimension ref="A1:AO91"/>
  <sheetViews>
    <sheetView workbookViewId="0"/>
  </sheetViews>
  <sheetFormatPr defaultColWidth="7.109375" defaultRowHeight="15.75"/>
  <cols>
    <col min="1" max="2" width="1.6640625" style="271" customWidth="1"/>
    <col min="3" max="3" width="30.6640625" style="271" customWidth="1"/>
    <col min="4" max="4" width="13.5546875" style="271" bestFit="1" customWidth="1"/>
    <col min="5" max="5" width="14.5546875" style="271" bestFit="1" customWidth="1"/>
    <col min="6" max="6" width="15.6640625" style="271" bestFit="1" customWidth="1"/>
    <col min="7" max="7" width="15" style="271" bestFit="1" customWidth="1"/>
    <col min="8" max="8" width="15.33203125" style="271" bestFit="1" customWidth="1"/>
    <col min="9" max="9" width="14.6640625" style="271" bestFit="1" customWidth="1"/>
    <col min="10" max="10" width="14.33203125" style="271" bestFit="1" customWidth="1"/>
    <col min="11" max="11" width="14" style="271" bestFit="1" customWidth="1"/>
    <col min="12" max="12" width="14.44140625" style="271" bestFit="1" customWidth="1"/>
    <col min="13" max="13" width="13.88671875" style="271" bestFit="1" customWidth="1"/>
    <col min="14" max="15" width="13.109375" style="271" bestFit="1" customWidth="1"/>
    <col min="16" max="16" width="12.5546875" style="271" bestFit="1" customWidth="1"/>
    <col min="17" max="17" width="11.6640625" style="271" bestFit="1" customWidth="1"/>
    <col min="18" max="18" width="11.88671875" style="271" bestFit="1" customWidth="1"/>
    <col min="19" max="19" width="11.33203125" style="271" bestFit="1" customWidth="1"/>
    <col min="20" max="36" width="11" style="271" bestFit="1" customWidth="1"/>
    <col min="37" max="37" width="1.6640625" style="271" customWidth="1"/>
    <col min="38" max="38" width="1.6640625" style="270" customWidth="1"/>
    <col min="39" max="16384" width="7.109375" style="271"/>
  </cols>
  <sheetData>
    <row r="1" spans="1:38" s="270" customFormat="1"/>
    <row r="2" spans="1:38" ht="51" customHeight="1">
      <c r="A2" s="270"/>
      <c r="B2" s="32"/>
      <c r="C2" s="33" t="s">
        <v>552</v>
      </c>
    </row>
    <row r="3" spans="1:38">
      <c r="A3" s="270"/>
      <c r="D3" s="276"/>
      <c r="E3" s="292"/>
      <c r="F3" s="292"/>
      <c r="G3" s="292"/>
      <c r="H3" s="422"/>
      <c r="I3" s="276"/>
      <c r="J3" s="276"/>
      <c r="K3" s="276"/>
    </row>
    <row r="4" spans="1:38" ht="16.5" thickBot="1">
      <c r="A4" s="270"/>
      <c r="C4" s="48"/>
      <c r="D4" s="49">
        <v>2023</v>
      </c>
      <c r="E4" s="50">
        <v>2024</v>
      </c>
      <c r="F4" s="50">
        <v>2025</v>
      </c>
      <c r="G4" s="50">
        <v>2026</v>
      </c>
      <c r="H4" s="50">
        <v>2027</v>
      </c>
      <c r="I4" s="50">
        <v>2028</v>
      </c>
      <c r="J4" s="50">
        <v>2029</v>
      </c>
      <c r="K4" s="50">
        <v>2030</v>
      </c>
      <c r="L4" s="50">
        <v>2031</v>
      </c>
      <c r="M4" s="50">
        <v>2032</v>
      </c>
      <c r="N4" s="50">
        <v>2033</v>
      </c>
      <c r="O4" s="50">
        <v>2034</v>
      </c>
      <c r="P4" s="50">
        <v>2035</v>
      </c>
      <c r="Q4" s="50">
        <v>2036</v>
      </c>
      <c r="R4" s="50">
        <v>2037</v>
      </c>
      <c r="S4" s="50">
        <v>2038</v>
      </c>
      <c r="T4" s="50">
        <v>2039</v>
      </c>
      <c r="U4" s="50">
        <v>2040</v>
      </c>
      <c r="V4" s="50">
        <v>2041</v>
      </c>
      <c r="W4" s="50">
        <v>2042</v>
      </c>
      <c r="X4" s="50">
        <v>2043</v>
      </c>
      <c r="Y4" s="50">
        <v>2044</v>
      </c>
      <c r="Z4" s="50">
        <v>2045</v>
      </c>
      <c r="AA4" s="50">
        <v>2046</v>
      </c>
      <c r="AB4" s="50">
        <v>2047</v>
      </c>
      <c r="AC4" s="50">
        <v>2048</v>
      </c>
      <c r="AD4" s="50">
        <v>2049</v>
      </c>
      <c r="AE4" s="50">
        <v>2050</v>
      </c>
      <c r="AF4" s="50">
        <v>2051</v>
      </c>
      <c r="AG4" s="50">
        <v>2052</v>
      </c>
      <c r="AH4" s="50">
        <v>2053</v>
      </c>
      <c r="AI4" s="50">
        <v>2054</v>
      </c>
      <c r="AJ4" s="50">
        <v>2055</v>
      </c>
      <c r="AK4" s="423"/>
    </row>
    <row r="5" spans="1:38">
      <c r="A5" s="270"/>
      <c r="C5" s="382"/>
      <c r="D5" s="383"/>
      <c r="E5" s="384"/>
      <c r="F5" s="384"/>
      <c r="G5" s="384"/>
      <c r="H5" s="384"/>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424"/>
      <c r="AL5" s="272"/>
    </row>
    <row r="6" spans="1:38">
      <c r="A6" s="270"/>
      <c r="C6" s="382" t="s">
        <v>448</v>
      </c>
      <c r="D6" s="383"/>
      <c r="E6" s="384"/>
      <c r="F6" s="384"/>
      <c r="G6" s="384"/>
      <c r="H6" s="384"/>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424"/>
      <c r="AL6" s="272"/>
    </row>
    <row r="7" spans="1:38">
      <c r="A7" s="270"/>
      <c r="C7" s="382"/>
      <c r="D7" s="383"/>
      <c r="E7" s="384"/>
      <c r="F7" s="384"/>
      <c r="G7" s="384"/>
      <c r="H7" s="384"/>
      <c r="I7" s="384"/>
      <c r="J7" s="384"/>
      <c r="K7" s="384"/>
      <c r="L7" s="384"/>
      <c r="M7" s="384"/>
      <c r="N7" s="384"/>
      <c r="O7" s="384"/>
      <c r="P7" s="384"/>
      <c r="Q7" s="384"/>
      <c r="R7" s="384"/>
      <c r="S7" s="384"/>
      <c r="T7" s="384"/>
      <c r="U7" s="384"/>
      <c r="V7" s="384"/>
      <c r="W7" s="384"/>
      <c r="X7" s="384"/>
      <c r="Y7" s="384"/>
      <c r="Z7" s="384"/>
      <c r="AA7" s="384"/>
      <c r="AB7" s="384"/>
      <c r="AC7" s="384"/>
      <c r="AD7" s="384"/>
      <c r="AE7" s="384"/>
      <c r="AF7" s="384"/>
      <c r="AG7" s="384"/>
      <c r="AH7" s="384"/>
      <c r="AI7" s="384"/>
      <c r="AJ7" s="384"/>
      <c r="AK7" s="424"/>
      <c r="AL7" s="272"/>
    </row>
    <row r="8" spans="1:38">
      <c r="A8" s="270"/>
      <c r="C8" s="382"/>
      <c r="D8" s="383"/>
      <c r="E8" s="384"/>
      <c r="F8" s="384"/>
      <c r="G8" s="384"/>
      <c r="H8" s="384"/>
      <c r="I8" s="384"/>
      <c r="J8" s="384"/>
      <c r="K8" s="384"/>
      <c r="L8" s="384"/>
      <c r="M8" s="384"/>
      <c r="N8" s="384"/>
      <c r="O8" s="384"/>
      <c r="P8" s="384"/>
      <c r="Q8" s="384"/>
      <c r="R8" s="384"/>
      <c r="S8" s="384"/>
      <c r="T8" s="384"/>
      <c r="U8" s="384"/>
      <c r="V8" s="384"/>
      <c r="W8" s="384"/>
      <c r="X8" s="384"/>
      <c r="Y8" s="384"/>
      <c r="Z8" s="384"/>
      <c r="AA8" s="384"/>
      <c r="AB8" s="384"/>
      <c r="AC8" s="384"/>
      <c r="AD8" s="384"/>
      <c r="AE8" s="384"/>
      <c r="AF8" s="384"/>
      <c r="AG8" s="384"/>
      <c r="AH8" s="384"/>
      <c r="AI8" s="384"/>
      <c r="AJ8" s="384"/>
      <c r="AK8" s="424"/>
      <c r="AL8" s="272"/>
    </row>
    <row r="9" spans="1:38">
      <c r="A9" s="270"/>
      <c r="C9" s="382"/>
      <c r="D9" s="383"/>
      <c r="E9" s="384"/>
      <c r="F9" s="384"/>
      <c r="G9" s="384"/>
      <c r="H9" s="384"/>
      <c r="I9" s="384"/>
      <c r="J9" s="384"/>
      <c r="K9" s="384"/>
      <c r="L9" s="384"/>
      <c r="M9" s="384"/>
      <c r="N9" s="384"/>
      <c r="O9" s="384"/>
      <c r="P9" s="384"/>
      <c r="Q9" s="384"/>
      <c r="R9" s="384"/>
      <c r="S9" s="384"/>
      <c r="T9" s="384"/>
      <c r="U9" s="384"/>
      <c r="V9" s="384"/>
      <c r="W9" s="384"/>
      <c r="X9" s="384"/>
      <c r="Y9" s="384"/>
      <c r="Z9" s="384"/>
      <c r="AA9" s="384"/>
      <c r="AB9" s="384"/>
      <c r="AC9" s="384"/>
      <c r="AD9" s="384"/>
      <c r="AE9" s="384"/>
      <c r="AF9" s="384"/>
      <c r="AG9" s="384"/>
      <c r="AH9" s="384"/>
      <c r="AI9" s="384"/>
      <c r="AJ9" s="384"/>
      <c r="AK9" s="424"/>
      <c r="AL9" s="272"/>
    </row>
    <row r="10" spans="1:38">
      <c r="A10" s="270"/>
      <c r="C10" s="382"/>
      <c r="D10" s="383"/>
      <c r="E10" s="384"/>
      <c r="F10" s="384"/>
      <c r="G10" s="384"/>
      <c r="H10" s="384"/>
      <c r="I10" s="384"/>
      <c r="J10" s="384"/>
      <c r="K10" s="384"/>
      <c r="L10" s="384"/>
      <c r="M10" s="384"/>
      <c r="N10" s="384"/>
      <c r="O10" s="384"/>
      <c r="P10" s="384"/>
      <c r="Q10" s="384"/>
      <c r="R10" s="384"/>
      <c r="S10" s="384"/>
      <c r="T10" s="384"/>
      <c r="U10" s="384"/>
      <c r="V10" s="384"/>
      <c r="W10" s="384"/>
      <c r="X10" s="384"/>
      <c r="Y10" s="384"/>
      <c r="Z10" s="384"/>
      <c r="AA10" s="384"/>
      <c r="AB10" s="384"/>
      <c r="AC10" s="384"/>
      <c r="AD10" s="384"/>
      <c r="AE10" s="384"/>
      <c r="AF10" s="384"/>
      <c r="AG10" s="384"/>
      <c r="AH10" s="384"/>
      <c r="AI10" s="384"/>
      <c r="AJ10" s="384"/>
      <c r="AK10" s="424"/>
      <c r="AL10" s="272"/>
    </row>
    <row r="11" spans="1:38">
      <c r="A11" s="270"/>
      <c r="C11" s="382"/>
      <c r="D11" s="383"/>
      <c r="E11" s="384"/>
      <c r="F11" s="384"/>
      <c r="G11" s="384"/>
      <c r="H11" s="384"/>
      <c r="I11" s="384"/>
      <c r="J11" s="384"/>
      <c r="K11" s="384"/>
      <c r="L11" s="384"/>
      <c r="M11" s="384"/>
      <c r="N11" s="384"/>
      <c r="O11" s="384"/>
      <c r="P11" s="384"/>
      <c r="Q11" s="384"/>
      <c r="R11" s="384"/>
      <c r="S11" s="384"/>
      <c r="T11" s="384"/>
      <c r="U11" s="384"/>
      <c r="V11" s="384"/>
      <c r="W11" s="384"/>
      <c r="X11" s="384"/>
      <c r="Y11" s="384"/>
      <c r="Z11" s="384"/>
      <c r="AA11" s="384"/>
      <c r="AB11" s="384"/>
      <c r="AC11" s="384"/>
      <c r="AD11" s="384"/>
      <c r="AE11" s="384"/>
      <c r="AF11" s="384"/>
      <c r="AG11" s="384"/>
      <c r="AH11" s="384"/>
      <c r="AI11" s="384"/>
      <c r="AJ11" s="384"/>
      <c r="AK11" s="424"/>
      <c r="AL11" s="272"/>
    </row>
    <row r="12" spans="1:38">
      <c r="A12" s="270"/>
      <c r="C12" s="382"/>
      <c r="D12" s="383"/>
      <c r="E12" s="384"/>
      <c r="F12" s="384"/>
      <c r="G12" s="384"/>
      <c r="H12" s="384"/>
      <c r="I12" s="384"/>
      <c r="J12" s="384"/>
      <c r="K12" s="384"/>
      <c r="L12" s="384"/>
      <c r="M12" s="384"/>
      <c r="N12" s="384"/>
      <c r="O12" s="384"/>
      <c r="P12" s="384"/>
      <c r="Q12" s="384"/>
      <c r="R12" s="384"/>
      <c r="S12" s="384"/>
      <c r="T12" s="384"/>
      <c r="U12" s="384"/>
      <c r="V12" s="384"/>
      <c r="W12" s="384"/>
      <c r="X12" s="384"/>
      <c r="Y12" s="384"/>
      <c r="Z12" s="384"/>
      <c r="AA12" s="384"/>
      <c r="AB12" s="384"/>
      <c r="AC12" s="384"/>
      <c r="AD12" s="384"/>
      <c r="AE12" s="384"/>
      <c r="AF12" s="384"/>
      <c r="AG12" s="384"/>
      <c r="AH12" s="384"/>
      <c r="AI12" s="384"/>
      <c r="AJ12" s="384"/>
      <c r="AK12" s="424"/>
      <c r="AL12" s="272"/>
    </row>
    <row r="13" spans="1:38">
      <c r="A13" s="270"/>
      <c r="C13" s="382"/>
      <c r="D13" s="383"/>
      <c r="E13" s="384"/>
      <c r="F13" s="384"/>
      <c r="G13" s="384"/>
      <c r="H13" s="384"/>
      <c r="I13" s="384"/>
      <c r="J13" s="384"/>
      <c r="K13" s="384"/>
      <c r="L13" s="384"/>
      <c r="M13" s="384"/>
      <c r="N13" s="384"/>
      <c r="O13" s="384"/>
      <c r="P13" s="384"/>
      <c r="Q13" s="384"/>
      <c r="R13" s="384"/>
      <c r="S13" s="384"/>
      <c r="T13" s="384"/>
      <c r="U13" s="384"/>
      <c r="V13" s="384"/>
      <c r="W13" s="384"/>
      <c r="X13" s="384"/>
      <c r="Y13" s="384"/>
      <c r="Z13" s="384"/>
      <c r="AA13" s="384"/>
      <c r="AB13" s="384"/>
      <c r="AC13" s="384"/>
      <c r="AD13" s="384"/>
      <c r="AE13" s="384"/>
      <c r="AF13" s="384"/>
      <c r="AG13" s="384"/>
      <c r="AH13" s="384"/>
      <c r="AI13" s="384"/>
      <c r="AJ13" s="384"/>
      <c r="AK13" s="424"/>
      <c r="AL13" s="272"/>
    </row>
    <row r="14" spans="1:38">
      <c r="A14" s="270"/>
      <c r="C14" s="382"/>
      <c r="D14" s="383"/>
      <c r="E14" s="384"/>
      <c r="F14" s="384"/>
      <c r="G14" s="384"/>
      <c r="H14" s="384"/>
      <c r="I14" s="384"/>
      <c r="J14" s="384"/>
      <c r="K14" s="384"/>
      <c r="L14" s="384"/>
      <c r="M14" s="384"/>
      <c r="N14" s="384"/>
      <c r="O14" s="384"/>
      <c r="P14" s="384"/>
      <c r="Q14" s="384"/>
      <c r="R14" s="384"/>
      <c r="S14" s="384"/>
      <c r="T14" s="384"/>
      <c r="U14" s="384"/>
      <c r="V14" s="384"/>
      <c r="W14" s="384"/>
      <c r="X14" s="384"/>
      <c r="Y14" s="384"/>
      <c r="Z14" s="384"/>
      <c r="AA14" s="384"/>
      <c r="AB14" s="384"/>
      <c r="AC14" s="384"/>
      <c r="AD14" s="384"/>
      <c r="AE14" s="384"/>
      <c r="AF14" s="384"/>
      <c r="AG14" s="384"/>
      <c r="AH14" s="384"/>
      <c r="AI14" s="384"/>
      <c r="AJ14" s="384"/>
      <c r="AK14" s="424"/>
      <c r="AL14" s="272"/>
    </row>
    <row r="15" spans="1:38">
      <c r="A15" s="270"/>
      <c r="C15" s="382"/>
      <c r="D15" s="383"/>
      <c r="E15" s="384"/>
      <c r="F15" s="384"/>
      <c r="G15" s="384"/>
      <c r="H15" s="384"/>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424"/>
      <c r="AL15" s="272"/>
    </row>
    <row r="16" spans="1:38">
      <c r="A16" s="270"/>
      <c r="C16" s="382"/>
      <c r="D16" s="383"/>
      <c r="E16" s="384"/>
      <c r="F16" s="384"/>
      <c r="G16" s="384"/>
      <c r="H16" s="384"/>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424"/>
      <c r="AL16" s="272"/>
    </row>
    <row r="17" spans="1:40" ht="16.5" thickBot="1">
      <c r="A17" s="270"/>
      <c r="C17" s="385" t="s">
        <v>455</v>
      </c>
      <c r="D17" s="273">
        <v>0</v>
      </c>
      <c r="E17" s="274">
        <v>0</v>
      </c>
      <c r="F17" s="274">
        <v>0</v>
      </c>
      <c r="G17" s="274">
        <v>0</v>
      </c>
      <c r="H17" s="274">
        <v>0</v>
      </c>
      <c r="I17" s="274">
        <v>0</v>
      </c>
      <c r="J17" s="274">
        <v>0</v>
      </c>
      <c r="K17" s="274">
        <v>0</v>
      </c>
      <c r="L17" s="274">
        <v>0</v>
      </c>
      <c r="M17" s="274">
        <v>0</v>
      </c>
      <c r="N17" s="274">
        <v>0</v>
      </c>
      <c r="O17" s="274">
        <v>0</v>
      </c>
      <c r="P17" s="274">
        <v>0</v>
      </c>
      <c r="Q17" s="274">
        <v>0</v>
      </c>
      <c r="R17" s="274">
        <v>0</v>
      </c>
      <c r="S17" s="274">
        <v>0</v>
      </c>
      <c r="T17" s="274">
        <v>0</v>
      </c>
      <c r="U17" s="274">
        <v>0</v>
      </c>
      <c r="V17" s="274">
        <v>0</v>
      </c>
      <c r="W17" s="274">
        <v>0</v>
      </c>
      <c r="X17" s="274">
        <v>0</v>
      </c>
      <c r="Y17" s="274">
        <v>0</v>
      </c>
      <c r="Z17" s="274">
        <v>0</v>
      </c>
      <c r="AA17" s="274">
        <v>0</v>
      </c>
      <c r="AB17" s="274">
        <v>0</v>
      </c>
      <c r="AC17" s="274">
        <v>0</v>
      </c>
      <c r="AD17" s="274">
        <v>0</v>
      </c>
      <c r="AE17" s="274">
        <v>0</v>
      </c>
      <c r="AF17" s="274">
        <v>0</v>
      </c>
      <c r="AG17" s="274">
        <v>0</v>
      </c>
      <c r="AH17" s="274">
        <v>0</v>
      </c>
      <c r="AI17" s="274">
        <v>0</v>
      </c>
      <c r="AJ17" s="274">
        <v>0</v>
      </c>
      <c r="AK17" s="275"/>
    </row>
    <row r="18" spans="1:40" ht="3.75" customHeight="1">
      <c r="A18" s="270"/>
      <c r="C18" s="386"/>
      <c r="D18" s="387"/>
      <c r="E18" s="387"/>
      <c r="F18" s="387"/>
      <c r="G18" s="387"/>
      <c r="H18" s="387"/>
      <c r="I18" s="387"/>
      <c r="J18" s="387"/>
      <c r="K18" s="387"/>
      <c r="L18" s="387"/>
      <c r="M18" s="387"/>
      <c r="N18" s="387"/>
      <c r="O18" s="387"/>
      <c r="P18" s="387"/>
      <c r="Q18" s="387"/>
      <c r="R18" s="387"/>
      <c r="S18" s="387"/>
      <c r="T18" s="387"/>
      <c r="U18" s="387"/>
      <c r="V18" s="387"/>
      <c r="W18" s="387"/>
      <c r="X18" s="387"/>
      <c r="Y18" s="387"/>
      <c r="Z18" s="387"/>
      <c r="AA18" s="387"/>
      <c r="AB18" s="387"/>
      <c r="AC18" s="387"/>
      <c r="AD18" s="387"/>
      <c r="AE18" s="387"/>
      <c r="AF18" s="387"/>
      <c r="AG18" s="387"/>
      <c r="AH18" s="387"/>
      <c r="AI18" s="387"/>
      <c r="AJ18" s="387"/>
      <c r="AK18" s="425"/>
      <c r="AN18" s="426"/>
    </row>
    <row r="19" spans="1:40">
      <c r="A19" s="270"/>
      <c r="C19" s="382" t="s">
        <v>491</v>
      </c>
      <c r="D19" s="388">
        <v>0</v>
      </c>
      <c r="E19" s="389">
        <v>48733230</v>
      </c>
      <c r="F19" s="389">
        <v>51232370</v>
      </c>
      <c r="G19" s="389">
        <v>24991399.999999996</v>
      </c>
      <c r="H19" s="389">
        <v>0</v>
      </c>
      <c r="I19" s="389">
        <v>0</v>
      </c>
      <c r="J19" s="389">
        <v>0</v>
      </c>
      <c r="K19" s="389">
        <v>0</v>
      </c>
      <c r="L19" s="389">
        <v>0</v>
      </c>
      <c r="M19" s="389">
        <v>0</v>
      </c>
      <c r="N19" s="389">
        <v>0</v>
      </c>
      <c r="O19" s="389">
        <v>0</v>
      </c>
      <c r="P19" s="389">
        <v>0</v>
      </c>
      <c r="Q19" s="389">
        <v>0</v>
      </c>
      <c r="R19" s="389">
        <v>0</v>
      </c>
      <c r="S19" s="389">
        <v>0</v>
      </c>
      <c r="T19" s="389">
        <v>0</v>
      </c>
      <c r="U19" s="389">
        <v>0</v>
      </c>
      <c r="V19" s="389">
        <v>0</v>
      </c>
      <c r="W19" s="389">
        <v>0</v>
      </c>
      <c r="X19" s="389">
        <v>0</v>
      </c>
      <c r="Y19" s="389">
        <v>0</v>
      </c>
      <c r="Z19" s="389">
        <v>0</v>
      </c>
      <c r="AA19" s="389">
        <v>0</v>
      </c>
      <c r="AB19" s="389">
        <v>0</v>
      </c>
      <c r="AC19" s="389">
        <v>0</v>
      </c>
      <c r="AD19" s="389">
        <v>0</v>
      </c>
      <c r="AE19" s="389">
        <v>0</v>
      </c>
      <c r="AF19" s="389">
        <v>0</v>
      </c>
      <c r="AG19" s="389">
        <v>0</v>
      </c>
      <c r="AH19" s="389">
        <v>0</v>
      </c>
      <c r="AI19" s="389">
        <v>0</v>
      </c>
      <c r="AJ19" s="389">
        <v>0</v>
      </c>
      <c r="AK19" s="425"/>
      <c r="AN19" s="426"/>
    </row>
    <row r="20" spans="1:40">
      <c r="A20" s="270"/>
      <c r="C20" s="382"/>
      <c r="D20" s="388"/>
      <c r="E20" s="389"/>
      <c r="F20" s="389"/>
      <c r="G20" s="389"/>
      <c r="H20" s="389"/>
      <c r="I20" s="389"/>
      <c r="J20" s="389"/>
      <c r="K20" s="389"/>
      <c r="L20" s="389"/>
      <c r="M20" s="389"/>
      <c r="N20" s="389"/>
      <c r="O20" s="389"/>
      <c r="P20" s="389"/>
      <c r="Q20" s="389"/>
      <c r="R20" s="389"/>
      <c r="S20" s="389"/>
      <c r="T20" s="389"/>
      <c r="U20" s="389"/>
      <c r="V20" s="389"/>
      <c r="W20" s="389"/>
      <c r="X20" s="389"/>
      <c r="Y20" s="389"/>
      <c r="Z20" s="389"/>
      <c r="AA20" s="389"/>
      <c r="AB20" s="389"/>
      <c r="AC20" s="389"/>
      <c r="AD20" s="389"/>
      <c r="AE20" s="389"/>
      <c r="AF20" s="389"/>
      <c r="AG20" s="389"/>
      <c r="AH20" s="389"/>
      <c r="AI20" s="389"/>
      <c r="AJ20" s="389"/>
      <c r="AK20" s="425"/>
      <c r="AN20" s="426"/>
    </row>
    <row r="21" spans="1:40">
      <c r="A21" s="270"/>
      <c r="C21" s="382"/>
      <c r="D21" s="388"/>
      <c r="E21" s="389"/>
      <c r="F21" s="389"/>
      <c r="G21" s="389"/>
      <c r="H21" s="389"/>
      <c r="I21" s="389"/>
      <c r="J21" s="389"/>
      <c r="K21" s="389"/>
      <c r="L21" s="389"/>
      <c r="M21" s="389"/>
      <c r="N21" s="389"/>
      <c r="O21" s="389"/>
      <c r="P21" s="389"/>
      <c r="Q21" s="389"/>
      <c r="R21" s="389"/>
      <c r="S21" s="389"/>
      <c r="T21" s="389"/>
      <c r="U21" s="389"/>
      <c r="V21" s="389"/>
      <c r="W21" s="389"/>
      <c r="X21" s="389"/>
      <c r="Y21" s="389"/>
      <c r="Z21" s="389"/>
      <c r="AA21" s="389"/>
      <c r="AB21" s="389"/>
      <c r="AC21" s="389"/>
      <c r="AD21" s="389"/>
      <c r="AE21" s="389"/>
      <c r="AF21" s="389"/>
      <c r="AG21" s="389"/>
      <c r="AH21" s="389"/>
      <c r="AI21" s="389"/>
      <c r="AJ21" s="389"/>
      <c r="AK21" s="425"/>
      <c r="AN21" s="426"/>
    </row>
    <row r="22" spans="1:40">
      <c r="A22" s="270"/>
      <c r="C22" s="382"/>
      <c r="D22" s="388"/>
      <c r="E22" s="389"/>
      <c r="F22" s="389"/>
      <c r="G22" s="389"/>
      <c r="H22" s="389"/>
      <c r="I22" s="389"/>
      <c r="J22" s="389"/>
      <c r="K22" s="389"/>
      <c r="L22" s="389"/>
      <c r="M22" s="389"/>
      <c r="N22" s="389"/>
      <c r="O22" s="389"/>
      <c r="P22" s="389"/>
      <c r="Q22" s="389"/>
      <c r="R22" s="389"/>
      <c r="S22" s="389"/>
      <c r="T22" s="389"/>
      <c r="U22" s="389"/>
      <c r="V22" s="389"/>
      <c r="W22" s="389"/>
      <c r="X22" s="389"/>
      <c r="Y22" s="389"/>
      <c r="Z22" s="389"/>
      <c r="AA22" s="389"/>
      <c r="AB22" s="389"/>
      <c r="AC22" s="389"/>
      <c r="AD22" s="389"/>
      <c r="AE22" s="389"/>
      <c r="AF22" s="389"/>
      <c r="AG22" s="389"/>
      <c r="AH22" s="389"/>
      <c r="AI22" s="389"/>
      <c r="AJ22" s="389"/>
      <c r="AK22" s="425"/>
      <c r="AN22" s="426"/>
    </row>
    <row r="23" spans="1:40">
      <c r="A23" s="270"/>
      <c r="C23" s="382"/>
      <c r="D23" s="388"/>
      <c r="E23" s="389"/>
      <c r="F23" s="389"/>
      <c r="G23" s="389"/>
      <c r="H23" s="389"/>
      <c r="I23" s="389"/>
      <c r="J23" s="389"/>
      <c r="K23" s="389"/>
      <c r="L23" s="389"/>
      <c r="M23" s="389"/>
      <c r="N23" s="389"/>
      <c r="O23" s="389"/>
      <c r="P23" s="389"/>
      <c r="Q23" s="389"/>
      <c r="R23" s="389"/>
      <c r="S23" s="389"/>
      <c r="T23" s="389"/>
      <c r="U23" s="389"/>
      <c r="V23" s="389"/>
      <c r="W23" s="389"/>
      <c r="X23" s="389"/>
      <c r="Y23" s="389"/>
      <c r="Z23" s="389"/>
      <c r="AA23" s="389"/>
      <c r="AB23" s="389"/>
      <c r="AC23" s="389"/>
      <c r="AD23" s="389"/>
      <c r="AE23" s="389"/>
      <c r="AF23" s="389"/>
      <c r="AG23" s="389"/>
      <c r="AH23" s="389"/>
      <c r="AI23" s="389"/>
      <c r="AJ23" s="389"/>
      <c r="AK23" s="425"/>
      <c r="AN23" s="426"/>
    </row>
    <row r="24" spans="1:40">
      <c r="A24" s="270"/>
      <c r="C24" s="382"/>
      <c r="D24" s="388"/>
      <c r="E24" s="389"/>
      <c r="F24" s="389"/>
      <c r="G24" s="389"/>
      <c r="H24" s="389"/>
      <c r="I24" s="389"/>
      <c r="J24" s="389"/>
      <c r="K24" s="389"/>
      <c r="L24" s="389"/>
      <c r="M24" s="389"/>
      <c r="N24" s="389"/>
      <c r="O24" s="389"/>
      <c r="P24" s="389"/>
      <c r="Q24" s="389"/>
      <c r="R24" s="389"/>
      <c r="S24" s="389"/>
      <c r="T24" s="389"/>
      <c r="U24" s="389"/>
      <c r="V24" s="389"/>
      <c r="W24" s="389"/>
      <c r="X24" s="389"/>
      <c r="Y24" s="389"/>
      <c r="Z24" s="389"/>
      <c r="AA24" s="389"/>
      <c r="AB24" s="389"/>
      <c r="AC24" s="389"/>
      <c r="AD24" s="389"/>
      <c r="AE24" s="389"/>
      <c r="AF24" s="389"/>
      <c r="AG24" s="389"/>
      <c r="AH24" s="389"/>
      <c r="AI24" s="389"/>
      <c r="AJ24" s="389"/>
      <c r="AK24" s="425"/>
      <c r="AN24" s="426"/>
    </row>
    <row r="25" spans="1:40">
      <c r="A25" s="270"/>
      <c r="C25" s="382"/>
      <c r="D25" s="388"/>
      <c r="E25" s="389"/>
      <c r="F25" s="389"/>
      <c r="G25" s="389"/>
      <c r="H25" s="389"/>
      <c r="I25" s="389"/>
      <c r="J25" s="389"/>
      <c r="K25" s="389"/>
      <c r="L25" s="389"/>
      <c r="M25" s="389"/>
      <c r="N25" s="389"/>
      <c r="O25" s="389"/>
      <c r="P25" s="389"/>
      <c r="Q25" s="389"/>
      <c r="R25" s="389"/>
      <c r="S25" s="389"/>
      <c r="T25" s="389"/>
      <c r="U25" s="389"/>
      <c r="V25" s="389"/>
      <c r="W25" s="389"/>
      <c r="X25" s="389"/>
      <c r="Y25" s="389"/>
      <c r="Z25" s="389"/>
      <c r="AA25" s="389"/>
      <c r="AB25" s="389"/>
      <c r="AC25" s="389"/>
      <c r="AD25" s="389"/>
      <c r="AE25" s="389"/>
      <c r="AF25" s="389"/>
      <c r="AG25" s="389"/>
      <c r="AH25" s="389"/>
      <c r="AI25" s="389"/>
      <c r="AJ25" s="389"/>
      <c r="AK25" s="425"/>
      <c r="AN25" s="426"/>
    </row>
    <row r="26" spans="1:40">
      <c r="A26" s="270"/>
      <c r="C26" s="382"/>
      <c r="D26" s="383"/>
      <c r="E26" s="384"/>
      <c r="F26" s="384"/>
      <c r="G26" s="384"/>
      <c r="H26" s="384"/>
      <c r="I26" s="384"/>
      <c r="J26" s="384"/>
      <c r="K26" s="384"/>
      <c r="L26" s="384"/>
      <c r="M26" s="384"/>
      <c r="N26" s="384"/>
      <c r="O26" s="384"/>
      <c r="P26" s="384"/>
      <c r="Q26" s="384"/>
      <c r="R26" s="384"/>
      <c r="S26" s="384"/>
      <c r="T26" s="384"/>
      <c r="U26" s="384"/>
      <c r="V26" s="384"/>
      <c r="W26" s="384"/>
      <c r="X26" s="384"/>
      <c r="Y26" s="384"/>
      <c r="Z26" s="384"/>
      <c r="AA26" s="384"/>
      <c r="AB26" s="384"/>
      <c r="AC26" s="384"/>
      <c r="AD26" s="384"/>
      <c r="AE26" s="384"/>
      <c r="AF26" s="384"/>
      <c r="AG26" s="384"/>
      <c r="AH26" s="384"/>
      <c r="AI26" s="384"/>
      <c r="AJ26" s="384"/>
      <c r="AK26" s="424"/>
      <c r="AL26" s="272"/>
    </row>
    <row r="27" spans="1:40">
      <c r="A27" s="270"/>
      <c r="C27" s="382"/>
      <c r="D27" s="383"/>
      <c r="E27" s="384"/>
      <c r="F27" s="384"/>
      <c r="G27" s="384"/>
      <c r="H27" s="384"/>
      <c r="I27" s="384"/>
      <c r="J27" s="384"/>
      <c r="K27" s="384"/>
      <c r="L27" s="384"/>
      <c r="M27" s="384"/>
      <c r="N27" s="384"/>
      <c r="O27" s="384"/>
      <c r="P27" s="384"/>
      <c r="Q27" s="384"/>
      <c r="R27" s="384"/>
      <c r="S27" s="384"/>
      <c r="T27" s="384"/>
      <c r="U27" s="384"/>
      <c r="V27" s="384"/>
      <c r="W27" s="384"/>
      <c r="X27" s="384"/>
      <c r="Y27" s="384"/>
      <c r="Z27" s="384"/>
      <c r="AA27" s="384"/>
      <c r="AB27" s="384"/>
      <c r="AC27" s="384"/>
      <c r="AD27" s="384"/>
      <c r="AE27" s="384"/>
      <c r="AF27" s="384"/>
      <c r="AG27" s="384"/>
      <c r="AH27" s="384"/>
      <c r="AI27" s="384"/>
      <c r="AJ27" s="384"/>
      <c r="AK27" s="424"/>
      <c r="AL27" s="272"/>
    </row>
    <row r="28" spans="1:40" ht="16.5" thickBot="1">
      <c r="A28" s="270"/>
      <c r="C28" s="385" t="s">
        <v>498</v>
      </c>
      <c r="D28" s="273">
        <v>0</v>
      </c>
      <c r="E28" s="274">
        <v>48733230</v>
      </c>
      <c r="F28" s="274">
        <v>51232370</v>
      </c>
      <c r="G28" s="274">
        <v>24991399.999999996</v>
      </c>
      <c r="H28" s="274">
        <v>0</v>
      </c>
      <c r="I28" s="274">
        <v>0</v>
      </c>
      <c r="J28" s="274">
        <v>0</v>
      </c>
      <c r="K28" s="274">
        <v>0</v>
      </c>
      <c r="L28" s="274">
        <v>0</v>
      </c>
      <c r="M28" s="274">
        <v>0</v>
      </c>
      <c r="N28" s="274">
        <v>0</v>
      </c>
      <c r="O28" s="274">
        <v>0</v>
      </c>
      <c r="P28" s="274">
        <v>0</v>
      </c>
      <c r="Q28" s="274">
        <v>0</v>
      </c>
      <c r="R28" s="274">
        <v>0</v>
      </c>
      <c r="S28" s="274">
        <v>0</v>
      </c>
      <c r="T28" s="274">
        <v>0</v>
      </c>
      <c r="U28" s="274">
        <v>0</v>
      </c>
      <c r="V28" s="274">
        <v>0</v>
      </c>
      <c r="W28" s="274">
        <v>0</v>
      </c>
      <c r="X28" s="274">
        <v>0</v>
      </c>
      <c r="Y28" s="274">
        <v>0</v>
      </c>
      <c r="Z28" s="274">
        <v>0</v>
      </c>
      <c r="AA28" s="274">
        <v>0</v>
      </c>
      <c r="AB28" s="274">
        <v>0</v>
      </c>
      <c r="AC28" s="274">
        <v>0</v>
      </c>
      <c r="AD28" s="274">
        <v>0</v>
      </c>
      <c r="AE28" s="274">
        <v>0</v>
      </c>
      <c r="AF28" s="274">
        <v>0</v>
      </c>
      <c r="AG28" s="274">
        <v>0</v>
      </c>
      <c r="AH28" s="274">
        <v>0</v>
      </c>
      <c r="AI28" s="274">
        <v>0</v>
      </c>
      <c r="AJ28" s="274">
        <v>0</v>
      </c>
      <c r="AK28" s="275"/>
    </row>
    <row r="29" spans="1:40" ht="3.75" customHeight="1">
      <c r="A29" s="270"/>
      <c r="C29" s="386"/>
      <c r="D29" s="390"/>
      <c r="E29" s="390"/>
      <c r="F29" s="390"/>
      <c r="G29" s="390"/>
      <c r="H29" s="390"/>
      <c r="I29" s="390"/>
      <c r="J29" s="390"/>
      <c r="K29" s="390"/>
      <c r="L29" s="390"/>
      <c r="M29" s="390"/>
      <c r="N29" s="390"/>
      <c r="O29" s="390"/>
      <c r="P29" s="390"/>
      <c r="Q29" s="390"/>
      <c r="R29" s="390"/>
      <c r="S29" s="390"/>
      <c r="T29" s="390"/>
      <c r="U29" s="390"/>
      <c r="V29" s="390"/>
      <c r="W29" s="390"/>
      <c r="X29" s="390"/>
      <c r="Y29" s="390"/>
      <c r="Z29" s="390"/>
      <c r="AA29" s="390"/>
      <c r="AB29" s="390"/>
      <c r="AC29" s="390"/>
      <c r="AD29" s="390"/>
      <c r="AE29" s="390"/>
      <c r="AF29" s="390"/>
      <c r="AG29" s="390"/>
      <c r="AH29" s="390"/>
      <c r="AI29" s="390"/>
      <c r="AJ29" s="390"/>
      <c r="AK29" s="424"/>
      <c r="AL29" s="272"/>
    </row>
    <row r="30" spans="1:40">
      <c r="A30" s="270"/>
      <c r="C30" s="382" t="s">
        <v>515</v>
      </c>
      <c r="D30" s="388">
        <v>0</v>
      </c>
      <c r="E30" s="389">
        <v>0</v>
      </c>
      <c r="F30" s="389">
        <v>0</v>
      </c>
      <c r="G30" s="389">
        <v>0</v>
      </c>
      <c r="H30" s="389">
        <v>3351876.5134884985</v>
      </c>
      <c r="I30" s="389">
        <v>3754101.6951071178</v>
      </c>
      <c r="J30" s="389">
        <v>4204593.8985199723</v>
      </c>
      <c r="K30" s="389">
        <v>4709145.1663423674</v>
      </c>
      <c r="L30" s="389">
        <v>5274242.586303452</v>
      </c>
      <c r="M30" s="389">
        <v>5907151.6966598658</v>
      </c>
      <c r="N30" s="389">
        <v>6616009.9002590496</v>
      </c>
      <c r="O30" s="389">
        <v>7409931.0882901363</v>
      </c>
      <c r="P30" s="389">
        <v>8299122.8188849529</v>
      </c>
      <c r="Q30" s="389">
        <v>9295017.5571511462</v>
      </c>
      <c r="R30" s="389">
        <v>10410419.664009284</v>
      </c>
      <c r="S30" s="389">
        <v>11659670.023690397</v>
      </c>
      <c r="T30" s="389">
        <v>13058830.426533245</v>
      </c>
      <c r="U30" s="389">
        <v>14625890.077717235</v>
      </c>
      <c r="V30" s="389">
        <v>16380996.887043303</v>
      </c>
      <c r="W30" s="389">
        <v>0</v>
      </c>
      <c r="X30" s="389">
        <v>0</v>
      </c>
      <c r="Y30" s="389">
        <v>0</v>
      </c>
      <c r="Z30" s="389">
        <v>0</v>
      </c>
      <c r="AA30" s="389">
        <v>0</v>
      </c>
      <c r="AB30" s="389">
        <v>0</v>
      </c>
      <c r="AC30" s="389">
        <v>0</v>
      </c>
      <c r="AD30" s="389">
        <v>0</v>
      </c>
      <c r="AE30" s="389">
        <v>0</v>
      </c>
      <c r="AF30" s="389">
        <v>0</v>
      </c>
      <c r="AG30" s="389">
        <v>0</v>
      </c>
      <c r="AH30" s="389">
        <v>0</v>
      </c>
      <c r="AI30" s="389">
        <v>0</v>
      </c>
      <c r="AJ30" s="389">
        <v>0</v>
      </c>
      <c r="AK30" s="425"/>
      <c r="AN30" s="426"/>
    </row>
    <row r="31" spans="1:40">
      <c r="A31" s="270"/>
      <c r="C31" s="382"/>
      <c r="D31" s="388"/>
      <c r="E31" s="389"/>
      <c r="F31" s="389"/>
      <c r="G31" s="389"/>
      <c r="H31" s="389"/>
      <c r="I31" s="389"/>
      <c r="J31" s="389"/>
      <c r="K31" s="389"/>
      <c r="L31" s="389"/>
      <c r="M31" s="389"/>
      <c r="N31" s="389"/>
      <c r="O31" s="389"/>
      <c r="P31" s="389"/>
      <c r="Q31" s="389"/>
      <c r="R31" s="389"/>
      <c r="S31" s="389"/>
      <c r="T31" s="389"/>
      <c r="U31" s="389"/>
      <c r="V31" s="389"/>
      <c r="W31" s="389"/>
      <c r="X31" s="389"/>
      <c r="Y31" s="389"/>
      <c r="Z31" s="389"/>
      <c r="AA31" s="389"/>
      <c r="AB31" s="389"/>
      <c r="AC31" s="389"/>
      <c r="AD31" s="389"/>
      <c r="AE31" s="389"/>
      <c r="AF31" s="389"/>
      <c r="AG31" s="389"/>
      <c r="AH31" s="389"/>
      <c r="AI31" s="389"/>
      <c r="AJ31" s="389"/>
      <c r="AK31" s="425"/>
      <c r="AN31" s="426"/>
    </row>
    <row r="32" spans="1:40">
      <c r="A32" s="270"/>
      <c r="C32" s="382"/>
      <c r="D32" s="388"/>
      <c r="E32" s="389"/>
      <c r="F32" s="389"/>
      <c r="G32" s="389"/>
      <c r="H32" s="389"/>
      <c r="I32" s="389"/>
      <c r="J32" s="389"/>
      <c r="K32" s="389"/>
      <c r="L32" s="389"/>
      <c r="M32" s="389"/>
      <c r="N32" s="389"/>
      <c r="O32" s="389"/>
      <c r="P32" s="389"/>
      <c r="Q32" s="389"/>
      <c r="R32" s="389"/>
      <c r="S32" s="389"/>
      <c r="T32" s="389"/>
      <c r="U32" s="389"/>
      <c r="V32" s="389"/>
      <c r="W32" s="389"/>
      <c r="X32" s="389"/>
      <c r="Y32" s="389"/>
      <c r="Z32" s="389"/>
      <c r="AA32" s="389"/>
      <c r="AB32" s="389"/>
      <c r="AC32" s="389"/>
      <c r="AD32" s="389"/>
      <c r="AE32" s="389"/>
      <c r="AF32" s="389"/>
      <c r="AG32" s="389"/>
      <c r="AH32" s="389"/>
      <c r="AI32" s="389"/>
      <c r="AJ32" s="389"/>
      <c r="AK32" s="425"/>
      <c r="AN32" s="426"/>
    </row>
    <row r="33" spans="1:40">
      <c r="A33" s="270"/>
      <c r="C33" s="382"/>
      <c r="D33" s="388"/>
      <c r="E33" s="389"/>
      <c r="F33" s="389"/>
      <c r="G33" s="389"/>
      <c r="H33" s="389"/>
      <c r="I33" s="389"/>
      <c r="J33" s="389"/>
      <c r="K33" s="389"/>
      <c r="L33" s="389"/>
      <c r="M33" s="389"/>
      <c r="N33" s="389"/>
      <c r="O33" s="389"/>
      <c r="P33" s="389"/>
      <c r="Q33" s="389"/>
      <c r="R33" s="389"/>
      <c r="S33" s="389"/>
      <c r="T33" s="389"/>
      <c r="U33" s="389"/>
      <c r="V33" s="389"/>
      <c r="W33" s="389"/>
      <c r="X33" s="389"/>
      <c r="Y33" s="389"/>
      <c r="Z33" s="389"/>
      <c r="AA33" s="389"/>
      <c r="AB33" s="389"/>
      <c r="AC33" s="389"/>
      <c r="AD33" s="389"/>
      <c r="AE33" s="389"/>
      <c r="AF33" s="389"/>
      <c r="AG33" s="389"/>
      <c r="AH33" s="389"/>
      <c r="AI33" s="389"/>
      <c r="AJ33" s="389"/>
      <c r="AK33" s="425"/>
      <c r="AN33" s="426"/>
    </row>
    <row r="34" spans="1:40">
      <c r="A34" s="270"/>
      <c r="C34" s="382"/>
      <c r="D34" s="388"/>
      <c r="E34" s="389"/>
      <c r="F34" s="389"/>
      <c r="G34" s="389"/>
      <c r="H34" s="389"/>
      <c r="I34" s="389"/>
      <c r="J34" s="389"/>
      <c r="K34" s="389"/>
      <c r="L34" s="389"/>
      <c r="M34" s="389"/>
      <c r="N34" s="389"/>
      <c r="O34" s="389"/>
      <c r="P34" s="389"/>
      <c r="Q34" s="389"/>
      <c r="R34" s="389"/>
      <c r="S34" s="389"/>
      <c r="T34" s="389"/>
      <c r="U34" s="389"/>
      <c r="V34" s="389"/>
      <c r="W34" s="389"/>
      <c r="X34" s="389"/>
      <c r="Y34" s="389"/>
      <c r="Z34" s="389"/>
      <c r="AA34" s="389"/>
      <c r="AB34" s="389"/>
      <c r="AC34" s="389"/>
      <c r="AD34" s="389"/>
      <c r="AE34" s="389"/>
      <c r="AF34" s="389"/>
      <c r="AG34" s="389"/>
      <c r="AH34" s="389"/>
      <c r="AI34" s="389"/>
      <c r="AJ34" s="389"/>
      <c r="AK34" s="425"/>
      <c r="AN34" s="426"/>
    </row>
    <row r="35" spans="1:40">
      <c r="A35" s="270"/>
      <c r="C35" s="382"/>
      <c r="D35" s="388"/>
      <c r="E35" s="389"/>
      <c r="F35" s="389"/>
      <c r="G35" s="389"/>
      <c r="H35" s="389"/>
      <c r="I35" s="389"/>
      <c r="J35" s="389"/>
      <c r="K35" s="389"/>
      <c r="L35" s="389"/>
      <c r="M35" s="389"/>
      <c r="N35" s="389"/>
      <c r="O35" s="389"/>
      <c r="P35" s="389"/>
      <c r="Q35" s="389"/>
      <c r="R35" s="389"/>
      <c r="S35" s="389"/>
      <c r="T35" s="389"/>
      <c r="U35" s="389"/>
      <c r="V35" s="389"/>
      <c r="W35" s="389"/>
      <c r="X35" s="389"/>
      <c r="Y35" s="389"/>
      <c r="Z35" s="389"/>
      <c r="AA35" s="389"/>
      <c r="AB35" s="389"/>
      <c r="AC35" s="389"/>
      <c r="AD35" s="389"/>
      <c r="AE35" s="389"/>
      <c r="AF35" s="389"/>
      <c r="AG35" s="389"/>
      <c r="AH35" s="389"/>
      <c r="AI35" s="389"/>
      <c r="AJ35" s="389"/>
      <c r="AK35" s="425"/>
      <c r="AN35" s="426"/>
    </row>
    <row r="36" spans="1:40">
      <c r="A36" s="270"/>
      <c r="C36" s="382"/>
      <c r="D36" s="388"/>
      <c r="E36" s="389"/>
      <c r="F36" s="389"/>
      <c r="G36" s="389"/>
      <c r="H36" s="389"/>
      <c r="I36" s="389"/>
      <c r="J36" s="389"/>
      <c r="K36" s="389"/>
      <c r="L36" s="389"/>
      <c r="M36" s="389"/>
      <c r="N36" s="389"/>
      <c r="O36" s="389"/>
      <c r="P36" s="389"/>
      <c r="Q36" s="389"/>
      <c r="R36" s="389"/>
      <c r="S36" s="389"/>
      <c r="T36" s="389"/>
      <c r="U36" s="389"/>
      <c r="V36" s="389"/>
      <c r="W36" s="389"/>
      <c r="X36" s="389"/>
      <c r="Y36" s="389"/>
      <c r="Z36" s="389"/>
      <c r="AA36" s="389"/>
      <c r="AB36" s="389"/>
      <c r="AC36" s="389"/>
      <c r="AD36" s="389"/>
      <c r="AE36" s="389"/>
      <c r="AF36" s="389"/>
      <c r="AG36" s="389"/>
      <c r="AH36" s="389"/>
      <c r="AI36" s="389"/>
      <c r="AJ36" s="389"/>
      <c r="AK36" s="425"/>
      <c r="AN36" s="426"/>
    </row>
    <row r="37" spans="1:40">
      <c r="A37" s="270"/>
      <c r="C37" s="382"/>
      <c r="D37" s="388"/>
      <c r="E37" s="389"/>
      <c r="F37" s="389"/>
      <c r="G37" s="389"/>
      <c r="H37" s="389"/>
      <c r="I37" s="389"/>
      <c r="J37" s="389"/>
      <c r="K37" s="389"/>
      <c r="L37" s="389"/>
      <c r="M37" s="389"/>
      <c r="N37" s="389"/>
      <c r="O37" s="389"/>
      <c r="P37" s="389"/>
      <c r="Q37" s="389"/>
      <c r="R37" s="389"/>
      <c r="S37" s="389"/>
      <c r="T37" s="389"/>
      <c r="U37" s="389"/>
      <c r="V37" s="389"/>
      <c r="W37" s="389"/>
      <c r="X37" s="389"/>
      <c r="Y37" s="389"/>
      <c r="Z37" s="389"/>
      <c r="AA37" s="389"/>
      <c r="AB37" s="389"/>
      <c r="AC37" s="389"/>
      <c r="AD37" s="389"/>
      <c r="AE37" s="389"/>
      <c r="AF37" s="389"/>
      <c r="AG37" s="389"/>
      <c r="AH37" s="389"/>
      <c r="AI37" s="389"/>
      <c r="AJ37" s="389"/>
      <c r="AK37" s="425"/>
      <c r="AN37" s="426"/>
    </row>
    <row r="38" spans="1:40">
      <c r="A38" s="270"/>
      <c r="C38" s="382"/>
      <c r="D38" s="388"/>
      <c r="E38" s="389"/>
      <c r="F38" s="389"/>
      <c r="G38" s="389"/>
      <c r="H38" s="389"/>
      <c r="I38" s="389"/>
      <c r="J38" s="389"/>
      <c r="K38" s="389"/>
      <c r="L38" s="389"/>
      <c r="M38" s="389"/>
      <c r="N38" s="389"/>
      <c r="O38" s="389"/>
      <c r="P38" s="389"/>
      <c r="Q38" s="389"/>
      <c r="R38" s="389"/>
      <c r="S38" s="389"/>
      <c r="T38" s="389"/>
      <c r="U38" s="389"/>
      <c r="V38" s="389"/>
      <c r="W38" s="389"/>
      <c r="X38" s="389"/>
      <c r="Y38" s="389"/>
      <c r="Z38" s="389"/>
      <c r="AA38" s="389"/>
      <c r="AB38" s="389"/>
      <c r="AC38" s="389"/>
      <c r="AD38" s="389"/>
      <c r="AE38" s="389"/>
      <c r="AF38" s="389"/>
      <c r="AG38" s="389"/>
      <c r="AH38" s="389"/>
      <c r="AI38" s="389"/>
      <c r="AJ38" s="389"/>
      <c r="AK38" s="425"/>
      <c r="AN38" s="426"/>
    </row>
    <row r="39" spans="1:40">
      <c r="A39" s="270"/>
      <c r="C39" s="382"/>
      <c r="D39" s="388"/>
      <c r="E39" s="389"/>
      <c r="F39" s="389"/>
      <c r="G39" s="389"/>
      <c r="H39" s="389"/>
      <c r="I39" s="389"/>
      <c r="J39" s="389"/>
      <c r="K39" s="389"/>
      <c r="L39" s="389"/>
      <c r="M39" s="389"/>
      <c r="N39" s="389"/>
      <c r="O39" s="389"/>
      <c r="P39" s="389"/>
      <c r="Q39" s="389"/>
      <c r="R39" s="389"/>
      <c r="S39" s="389"/>
      <c r="T39" s="389"/>
      <c r="U39" s="389"/>
      <c r="V39" s="389"/>
      <c r="W39" s="389"/>
      <c r="X39" s="389"/>
      <c r="Y39" s="389"/>
      <c r="Z39" s="389"/>
      <c r="AA39" s="389"/>
      <c r="AB39" s="389"/>
      <c r="AC39" s="389"/>
      <c r="AD39" s="389"/>
      <c r="AE39" s="389"/>
      <c r="AF39" s="389"/>
      <c r="AG39" s="389"/>
      <c r="AH39" s="389"/>
      <c r="AI39" s="389"/>
      <c r="AJ39" s="389"/>
      <c r="AK39" s="425"/>
      <c r="AN39" s="426"/>
    </row>
    <row r="40" spans="1:40">
      <c r="A40" s="270"/>
      <c r="C40" s="382"/>
      <c r="D40" s="388"/>
      <c r="E40" s="389"/>
      <c r="F40" s="389"/>
      <c r="G40" s="389"/>
      <c r="H40" s="389"/>
      <c r="I40" s="389"/>
      <c r="J40" s="389"/>
      <c r="K40" s="389"/>
      <c r="L40" s="389"/>
      <c r="M40" s="389"/>
      <c r="N40" s="389"/>
      <c r="O40" s="389"/>
      <c r="P40" s="389"/>
      <c r="Q40" s="389"/>
      <c r="R40" s="389"/>
      <c r="S40" s="389"/>
      <c r="T40" s="389"/>
      <c r="U40" s="389"/>
      <c r="V40" s="389"/>
      <c r="W40" s="389"/>
      <c r="X40" s="389"/>
      <c r="Y40" s="389"/>
      <c r="Z40" s="389"/>
      <c r="AA40" s="389"/>
      <c r="AB40" s="389"/>
      <c r="AC40" s="389"/>
      <c r="AD40" s="389"/>
      <c r="AE40" s="389"/>
      <c r="AF40" s="389"/>
      <c r="AG40" s="389"/>
      <c r="AH40" s="389"/>
      <c r="AI40" s="389"/>
      <c r="AJ40" s="389"/>
      <c r="AK40" s="425"/>
      <c r="AN40" s="426"/>
    </row>
    <row r="41" spans="1:40">
      <c r="A41" s="270"/>
      <c r="C41" s="382"/>
      <c r="D41" s="388"/>
      <c r="E41" s="389"/>
      <c r="F41" s="389"/>
      <c r="G41" s="389"/>
      <c r="H41" s="389"/>
      <c r="I41" s="389"/>
      <c r="J41" s="389"/>
      <c r="K41" s="389"/>
      <c r="L41" s="389"/>
      <c r="M41" s="389"/>
      <c r="N41" s="389"/>
      <c r="O41" s="389"/>
      <c r="P41" s="389"/>
      <c r="Q41" s="389"/>
      <c r="R41" s="389"/>
      <c r="S41" s="389"/>
      <c r="T41" s="389"/>
      <c r="U41" s="389"/>
      <c r="V41" s="389"/>
      <c r="W41" s="389"/>
      <c r="X41" s="389"/>
      <c r="Y41" s="389"/>
      <c r="Z41" s="389"/>
      <c r="AA41" s="389"/>
      <c r="AB41" s="389"/>
      <c r="AC41" s="389"/>
      <c r="AD41" s="389"/>
      <c r="AE41" s="389"/>
      <c r="AF41" s="389"/>
      <c r="AG41" s="389"/>
      <c r="AH41" s="389"/>
      <c r="AI41" s="389"/>
      <c r="AJ41" s="389"/>
      <c r="AK41" s="425"/>
      <c r="AN41" s="426"/>
    </row>
    <row r="42" spans="1:40" ht="16.5" thickBot="1">
      <c r="A42" s="270"/>
      <c r="C42" s="385" t="s">
        <v>462</v>
      </c>
      <c r="D42" s="273">
        <v>0</v>
      </c>
      <c r="E42" s="274">
        <v>0</v>
      </c>
      <c r="F42" s="274">
        <v>0</v>
      </c>
      <c r="G42" s="274">
        <v>0</v>
      </c>
      <c r="H42" s="274">
        <v>3351876.5134884985</v>
      </c>
      <c r="I42" s="274">
        <v>3754101.6951071178</v>
      </c>
      <c r="J42" s="274">
        <v>4204593.8985199723</v>
      </c>
      <c r="K42" s="274">
        <v>4709145.1663423674</v>
      </c>
      <c r="L42" s="274">
        <v>5274242.586303452</v>
      </c>
      <c r="M42" s="274">
        <v>5907151.6966598658</v>
      </c>
      <c r="N42" s="274">
        <v>6616009.9002590496</v>
      </c>
      <c r="O42" s="274">
        <v>7409931.0882901363</v>
      </c>
      <c r="P42" s="274">
        <v>8299122.8188849529</v>
      </c>
      <c r="Q42" s="274">
        <v>9295017.5571511462</v>
      </c>
      <c r="R42" s="274">
        <v>10410419.664009284</v>
      </c>
      <c r="S42" s="274">
        <v>11659670.023690397</v>
      </c>
      <c r="T42" s="274">
        <v>13058830.426533245</v>
      </c>
      <c r="U42" s="274">
        <v>14625890.077717235</v>
      </c>
      <c r="V42" s="274">
        <v>16380996.887043303</v>
      </c>
      <c r="W42" s="274">
        <v>0</v>
      </c>
      <c r="X42" s="274">
        <v>0</v>
      </c>
      <c r="Y42" s="274">
        <v>0</v>
      </c>
      <c r="Z42" s="274">
        <v>0</v>
      </c>
      <c r="AA42" s="274">
        <v>0</v>
      </c>
      <c r="AB42" s="274">
        <v>0</v>
      </c>
      <c r="AC42" s="274">
        <v>0</v>
      </c>
      <c r="AD42" s="274">
        <v>0</v>
      </c>
      <c r="AE42" s="274">
        <v>0</v>
      </c>
      <c r="AF42" s="274">
        <v>0</v>
      </c>
      <c r="AG42" s="274">
        <v>0</v>
      </c>
      <c r="AH42" s="274">
        <v>0</v>
      </c>
      <c r="AI42" s="274">
        <v>0</v>
      </c>
      <c r="AJ42" s="274">
        <v>0</v>
      </c>
      <c r="AK42" s="275"/>
    </row>
    <row r="43" spans="1:40" ht="3.75" customHeight="1">
      <c r="A43" s="270"/>
      <c r="C43" s="386"/>
      <c r="D43" s="387"/>
      <c r="E43" s="387"/>
      <c r="F43" s="387"/>
      <c r="G43" s="387"/>
      <c r="H43" s="387"/>
      <c r="I43" s="387"/>
      <c r="J43" s="387"/>
      <c r="K43" s="387"/>
      <c r="L43" s="387"/>
      <c r="M43" s="387"/>
      <c r="N43" s="387"/>
      <c r="O43" s="387"/>
      <c r="P43" s="387"/>
      <c r="Q43" s="387"/>
      <c r="R43" s="387"/>
      <c r="S43" s="387"/>
      <c r="T43" s="387"/>
      <c r="U43" s="387"/>
      <c r="V43" s="387"/>
      <c r="W43" s="387"/>
      <c r="X43" s="387"/>
      <c r="Y43" s="387"/>
      <c r="Z43" s="387"/>
      <c r="AA43" s="387"/>
      <c r="AB43" s="387"/>
      <c r="AC43" s="387"/>
      <c r="AD43" s="387"/>
      <c r="AE43" s="387"/>
      <c r="AF43" s="387"/>
      <c r="AG43" s="387"/>
      <c r="AH43" s="387"/>
      <c r="AI43" s="387"/>
      <c r="AJ43" s="387"/>
      <c r="AK43" s="425"/>
      <c r="AN43" s="426"/>
    </row>
    <row r="44" spans="1:40">
      <c r="A44" s="270"/>
      <c r="C44" s="391" t="s">
        <v>517</v>
      </c>
      <c r="D44" s="392">
        <v>0</v>
      </c>
      <c r="E44" s="393">
        <v>0</v>
      </c>
      <c r="F44" s="393">
        <v>0</v>
      </c>
      <c r="G44" s="393">
        <v>0</v>
      </c>
      <c r="H44" s="393">
        <v>14994840</v>
      </c>
      <c r="I44" s="393">
        <v>14592614.81838138</v>
      </c>
      <c r="J44" s="393">
        <v>14142122.614968525</v>
      </c>
      <c r="K44" s="393">
        <v>13637571.347146131</v>
      </c>
      <c r="L44" s="393">
        <v>13072473.927185046</v>
      </c>
      <c r="M44" s="393">
        <v>12439564.816828633</v>
      </c>
      <c r="N44" s="393">
        <v>11730706.613229448</v>
      </c>
      <c r="O44" s="393">
        <v>10936785.425198361</v>
      </c>
      <c r="P44" s="393">
        <v>10047593.694603546</v>
      </c>
      <c r="Q44" s="393">
        <v>9051698.9563373532</v>
      </c>
      <c r="R44" s="393">
        <v>7936296.8494792143</v>
      </c>
      <c r="S44" s="393">
        <v>6687046.4897981007</v>
      </c>
      <c r="T44" s="393">
        <v>5287886.086955253</v>
      </c>
      <c r="U44" s="393">
        <v>3720826.4357712637</v>
      </c>
      <c r="V44" s="393">
        <v>1965719.6264451961</v>
      </c>
      <c r="W44" s="393">
        <v>0</v>
      </c>
      <c r="X44" s="393">
        <v>0</v>
      </c>
      <c r="Y44" s="393">
        <v>0</v>
      </c>
      <c r="Z44" s="393">
        <v>0</v>
      </c>
      <c r="AA44" s="393">
        <v>0</v>
      </c>
      <c r="AB44" s="393">
        <v>0</v>
      </c>
      <c r="AC44" s="393">
        <v>0</v>
      </c>
      <c r="AD44" s="393">
        <v>0</v>
      </c>
      <c r="AE44" s="393">
        <v>0</v>
      </c>
      <c r="AF44" s="393">
        <v>0</v>
      </c>
      <c r="AG44" s="393">
        <v>0</v>
      </c>
      <c r="AH44" s="393">
        <v>0</v>
      </c>
      <c r="AI44" s="393">
        <v>0</v>
      </c>
      <c r="AJ44" s="393">
        <v>0</v>
      </c>
      <c r="AK44" s="425"/>
      <c r="AN44" s="426"/>
    </row>
    <row r="45" spans="1:40">
      <c r="A45" s="270"/>
      <c r="C45" s="382"/>
      <c r="D45" s="388"/>
      <c r="E45" s="389"/>
      <c r="F45" s="389"/>
      <c r="G45" s="389"/>
      <c r="H45" s="389"/>
      <c r="I45" s="389"/>
      <c r="J45" s="389"/>
      <c r="K45" s="389"/>
      <c r="L45" s="389"/>
      <c r="M45" s="389"/>
      <c r="N45" s="389"/>
      <c r="O45" s="389"/>
      <c r="P45" s="389"/>
      <c r="Q45" s="389"/>
      <c r="R45" s="389"/>
      <c r="S45" s="389"/>
      <c r="T45" s="389"/>
      <c r="U45" s="389"/>
      <c r="V45" s="389"/>
      <c r="W45" s="389"/>
      <c r="X45" s="389"/>
      <c r="Y45" s="389"/>
      <c r="Z45" s="389"/>
      <c r="AA45" s="389"/>
      <c r="AB45" s="389"/>
      <c r="AC45" s="389"/>
      <c r="AD45" s="389"/>
      <c r="AE45" s="389"/>
      <c r="AF45" s="389"/>
      <c r="AG45" s="389"/>
      <c r="AH45" s="389"/>
      <c r="AI45" s="389"/>
      <c r="AJ45" s="389"/>
      <c r="AK45" s="425"/>
      <c r="AN45" s="426"/>
    </row>
    <row r="46" spans="1:40">
      <c r="A46" s="270"/>
      <c r="C46" s="382"/>
      <c r="D46" s="388"/>
      <c r="E46" s="389"/>
      <c r="F46" s="389"/>
      <c r="G46" s="389"/>
      <c r="H46" s="389"/>
      <c r="I46" s="389"/>
      <c r="J46" s="389"/>
      <c r="K46" s="389"/>
      <c r="L46" s="389"/>
      <c r="M46" s="389"/>
      <c r="N46" s="389"/>
      <c r="O46" s="389"/>
      <c r="P46" s="389"/>
      <c r="Q46" s="389"/>
      <c r="R46" s="389"/>
      <c r="S46" s="389"/>
      <c r="T46" s="389"/>
      <c r="U46" s="389"/>
      <c r="V46" s="389"/>
      <c r="W46" s="389"/>
      <c r="X46" s="389"/>
      <c r="Y46" s="389"/>
      <c r="Z46" s="389"/>
      <c r="AA46" s="389"/>
      <c r="AB46" s="389"/>
      <c r="AC46" s="389"/>
      <c r="AD46" s="389"/>
      <c r="AE46" s="389"/>
      <c r="AF46" s="389"/>
      <c r="AG46" s="389"/>
      <c r="AH46" s="389"/>
      <c r="AI46" s="389"/>
      <c r="AJ46" s="389"/>
      <c r="AK46" s="425"/>
      <c r="AN46" s="426"/>
    </row>
    <row r="47" spans="1:40">
      <c r="A47" s="270"/>
      <c r="C47" s="382"/>
      <c r="D47" s="388"/>
      <c r="E47" s="389"/>
      <c r="F47" s="389"/>
      <c r="G47" s="389"/>
      <c r="H47" s="389"/>
      <c r="I47" s="389"/>
      <c r="J47" s="389"/>
      <c r="K47" s="389"/>
      <c r="L47" s="389"/>
      <c r="M47" s="389"/>
      <c r="N47" s="389"/>
      <c r="O47" s="389"/>
      <c r="P47" s="389"/>
      <c r="Q47" s="389"/>
      <c r="R47" s="389"/>
      <c r="S47" s="389"/>
      <c r="T47" s="389"/>
      <c r="U47" s="389"/>
      <c r="V47" s="389"/>
      <c r="W47" s="389"/>
      <c r="X47" s="389"/>
      <c r="Y47" s="389"/>
      <c r="Z47" s="389"/>
      <c r="AA47" s="389"/>
      <c r="AB47" s="389"/>
      <c r="AC47" s="389"/>
      <c r="AD47" s="389"/>
      <c r="AE47" s="389"/>
      <c r="AF47" s="389"/>
      <c r="AG47" s="389"/>
      <c r="AH47" s="389"/>
      <c r="AI47" s="389"/>
      <c r="AJ47" s="389"/>
      <c r="AK47" s="425"/>
      <c r="AN47" s="426"/>
    </row>
    <row r="48" spans="1:40">
      <c r="A48" s="270"/>
      <c r="C48" s="382"/>
      <c r="D48" s="388"/>
      <c r="E48" s="389"/>
      <c r="F48" s="389"/>
      <c r="G48" s="389"/>
      <c r="H48" s="389"/>
      <c r="I48" s="389"/>
      <c r="J48" s="389"/>
      <c r="K48" s="389"/>
      <c r="L48" s="389"/>
      <c r="M48" s="389"/>
      <c r="N48" s="389"/>
      <c r="O48" s="389"/>
      <c r="P48" s="389"/>
      <c r="Q48" s="389"/>
      <c r="R48" s="389"/>
      <c r="S48" s="389"/>
      <c r="T48" s="389"/>
      <c r="U48" s="389"/>
      <c r="V48" s="389"/>
      <c r="W48" s="389"/>
      <c r="X48" s="389"/>
      <c r="Y48" s="389"/>
      <c r="Z48" s="389"/>
      <c r="AA48" s="389"/>
      <c r="AB48" s="389"/>
      <c r="AC48" s="389"/>
      <c r="AD48" s="389"/>
      <c r="AE48" s="389"/>
      <c r="AF48" s="389"/>
      <c r="AG48" s="389"/>
      <c r="AH48" s="389"/>
      <c r="AI48" s="389"/>
      <c r="AJ48" s="389"/>
      <c r="AK48" s="425"/>
      <c r="AN48" s="426"/>
    </row>
    <row r="49" spans="1:41">
      <c r="A49" s="270"/>
      <c r="C49" s="382"/>
      <c r="D49" s="388"/>
      <c r="E49" s="389"/>
      <c r="F49" s="389"/>
      <c r="G49" s="389"/>
      <c r="H49" s="389"/>
      <c r="I49" s="389"/>
      <c r="J49" s="389"/>
      <c r="K49" s="389"/>
      <c r="L49" s="389"/>
      <c r="M49" s="389"/>
      <c r="N49" s="389"/>
      <c r="O49" s="389"/>
      <c r="P49" s="389"/>
      <c r="Q49" s="389"/>
      <c r="R49" s="389"/>
      <c r="S49" s="389"/>
      <c r="T49" s="389"/>
      <c r="U49" s="389"/>
      <c r="V49" s="389"/>
      <c r="W49" s="389"/>
      <c r="X49" s="389"/>
      <c r="Y49" s="389"/>
      <c r="Z49" s="389"/>
      <c r="AA49" s="389"/>
      <c r="AB49" s="389"/>
      <c r="AC49" s="389"/>
      <c r="AD49" s="389"/>
      <c r="AE49" s="389"/>
      <c r="AF49" s="389"/>
      <c r="AG49" s="389"/>
      <c r="AH49" s="389"/>
      <c r="AI49" s="389"/>
      <c r="AJ49" s="389"/>
      <c r="AK49" s="425"/>
      <c r="AN49" s="426"/>
    </row>
    <row r="50" spans="1:41">
      <c r="A50" s="270"/>
      <c r="C50" s="382"/>
      <c r="D50" s="388"/>
      <c r="E50" s="389"/>
      <c r="F50" s="389"/>
      <c r="G50" s="389"/>
      <c r="H50" s="389"/>
      <c r="I50" s="389"/>
      <c r="J50" s="389"/>
      <c r="K50" s="389"/>
      <c r="L50" s="389"/>
      <c r="M50" s="389"/>
      <c r="N50" s="389"/>
      <c r="O50" s="389"/>
      <c r="P50" s="389"/>
      <c r="Q50" s="389"/>
      <c r="R50" s="389"/>
      <c r="S50" s="389"/>
      <c r="T50" s="389"/>
      <c r="U50" s="389"/>
      <c r="V50" s="389"/>
      <c r="W50" s="389"/>
      <c r="X50" s="389"/>
      <c r="Y50" s="389"/>
      <c r="Z50" s="389"/>
      <c r="AA50" s="389"/>
      <c r="AB50" s="389"/>
      <c r="AC50" s="389"/>
      <c r="AD50" s="389"/>
      <c r="AE50" s="389"/>
      <c r="AF50" s="389"/>
      <c r="AG50" s="389"/>
      <c r="AH50" s="389"/>
      <c r="AI50" s="389"/>
      <c r="AJ50" s="389"/>
      <c r="AK50" s="425"/>
      <c r="AN50" s="426"/>
    </row>
    <row r="51" spans="1:41">
      <c r="A51" s="270"/>
      <c r="C51" s="382"/>
      <c r="D51" s="388"/>
      <c r="E51" s="388"/>
      <c r="F51" s="388"/>
      <c r="G51" s="389"/>
      <c r="H51" s="389"/>
      <c r="I51" s="389"/>
      <c r="J51" s="389"/>
      <c r="K51" s="389"/>
      <c r="L51" s="389"/>
      <c r="M51" s="389"/>
      <c r="N51" s="389"/>
      <c r="O51" s="389"/>
      <c r="P51" s="389"/>
      <c r="Q51" s="389"/>
      <c r="R51" s="389"/>
      <c r="S51" s="389"/>
      <c r="T51" s="389"/>
      <c r="U51" s="389"/>
      <c r="V51" s="389"/>
      <c r="W51" s="389"/>
      <c r="X51" s="389"/>
      <c r="Y51" s="389"/>
      <c r="Z51" s="389"/>
      <c r="AA51" s="389"/>
      <c r="AB51" s="389"/>
      <c r="AC51" s="389"/>
      <c r="AD51" s="389"/>
      <c r="AE51" s="389"/>
      <c r="AF51" s="389"/>
      <c r="AG51" s="389"/>
      <c r="AH51" s="389"/>
      <c r="AI51" s="389"/>
      <c r="AJ51" s="389"/>
      <c r="AK51" s="425"/>
      <c r="AN51" s="426"/>
    </row>
    <row r="52" spans="1:41">
      <c r="A52" s="270"/>
      <c r="C52" s="382"/>
      <c r="D52" s="388"/>
      <c r="E52" s="389"/>
      <c r="F52" s="389"/>
      <c r="G52" s="389"/>
      <c r="H52" s="389"/>
      <c r="I52" s="389"/>
      <c r="J52" s="389"/>
      <c r="K52" s="389"/>
      <c r="L52" s="389"/>
      <c r="M52" s="389"/>
      <c r="N52" s="389"/>
      <c r="O52" s="389"/>
      <c r="P52" s="389"/>
      <c r="Q52" s="389"/>
      <c r="R52" s="389"/>
      <c r="S52" s="389"/>
      <c r="T52" s="389"/>
      <c r="U52" s="389"/>
      <c r="V52" s="389"/>
      <c r="W52" s="389"/>
      <c r="X52" s="389"/>
      <c r="Y52" s="389"/>
      <c r="Z52" s="389"/>
      <c r="AA52" s="389"/>
      <c r="AB52" s="389"/>
      <c r="AC52" s="389"/>
      <c r="AD52" s="389"/>
      <c r="AE52" s="389"/>
      <c r="AF52" s="389"/>
      <c r="AG52" s="389"/>
      <c r="AH52" s="389"/>
      <c r="AI52" s="389"/>
      <c r="AJ52" s="389"/>
      <c r="AK52" s="425"/>
      <c r="AN52" s="426"/>
    </row>
    <row r="53" spans="1:41">
      <c r="A53" s="270"/>
      <c r="C53" s="382"/>
      <c r="D53" s="388"/>
      <c r="E53" s="389"/>
      <c r="F53" s="389"/>
      <c r="G53" s="389"/>
      <c r="H53" s="389"/>
      <c r="I53" s="389"/>
      <c r="J53" s="389"/>
      <c r="K53" s="389"/>
      <c r="L53" s="389"/>
      <c r="M53" s="389"/>
      <c r="N53" s="389"/>
      <c r="O53" s="389"/>
      <c r="P53" s="389"/>
      <c r="Q53" s="389"/>
      <c r="R53" s="389"/>
      <c r="S53" s="389"/>
      <c r="T53" s="389"/>
      <c r="U53" s="389"/>
      <c r="V53" s="389"/>
      <c r="W53" s="389"/>
      <c r="X53" s="389"/>
      <c r="Y53" s="389"/>
      <c r="Z53" s="389"/>
      <c r="AA53" s="389"/>
      <c r="AB53" s="389"/>
      <c r="AC53" s="389"/>
      <c r="AD53" s="389"/>
      <c r="AE53" s="389"/>
      <c r="AF53" s="389"/>
      <c r="AG53" s="389"/>
      <c r="AH53" s="389"/>
      <c r="AI53" s="389"/>
      <c r="AJ53" s="389"/>
      <c r="AK53" s="425"/>
      <c r="AN53" s="426"/>
    </row>
    <row r="54" spans="1:41">
      <c r="A54" s="270"/>
      <c r="C54" s="382"/>
      <c r="D54" s="388"/>
      <c r="E54" s="389"/>
      <c r="F54" s="389"/>
      <c r="G54" s="389"/>
      <c r="H54" s="389"/>
      <c r="I54" s="389"/>
      <c r="J54" s="389"/>
      <c r="K54" s="389"/>
      <c r="L54" s="389"/>
      <c r="M54" s="389"/>
      <c r="N54" s="389"/>
      <c r="O54" s="389"/>
      <c r="P54" s="389"/>
      <c r="Q54" s="389"/>
      <c r="R54" s="389"/>
      <c r="S54" s="389"/>
      <c r="T54" s="389"/>
      <c r="U54" s="389"/>
      <c r="V54" s="389"/>
      <c r="W54" s="389"/>
      <c r="X54" s="389"/>
      <c r="Y54" s="389"/>
      <c r="Z54" s="389"/>
      <c r="AA54" s="389"/>
      <c r="AB54" s="389"/>
      <c r="AC54" s="389"/>
      <c r="AD54" s="389"/>
      <c r="AE54" s="389"/>
      <c r="AF54" s="389"/>
      <c r="AG54" s="389"/>
      <c r="AH54" s="389"/>
      <c r="AI54" s="389"/>
      <c r="AJ54" s="389"/>
      <c r="AK54" s="425"/>
      <c r="AN54" s="426"/>
    </row>
    <row r="55" spans="1:41">
      <c r="A55" s="270"/>
      <c r="C55" s="382"/>
      <c r="D55" s="388"/>
      <c r="E55" s="389"/>
      <c r="F55" s="389"/>
      <c r="G55" s="389"/>
      <c r="H55" s="389"/>
      <c r="I55" s="389"/>
      <c r="J55" s="389"/>
      <c r="K55" s="389"/>
      <c r="L55" s="389"/>
      <c r="M55" s="389"/>
      <c r="N55" s="389"/>
      <c r="O55" s="389"/>
      <c r="P55" s="389"/>
      <c r="Q55" s="389"/>
      <c r="R55" s="389"/>
      <c r="S55" s="389"/>
      <c r="T55" s="389"/>
      <c r="U55" s="389"/>
      <c r="V55" s="389"/>
      <c r="W55" s="389"/>
      <c r="X55" s="389"/>
      <c r="Y55" s="389"/>
      <c r="Z55" s="389"/>
      <c r="AA55" s="389"/>
      <c r="AB55" s="389"/>
      <c r="AC55" s="389"/>
      <c r="AD55" s="389"/>
      <c r="AE55" s="389"/>
      <c r="AF55" s="389"/>
      <c r="AG55" s="389"/>
      <c r="AH55" s="389"/>
      <c r="AI55" s="389"/>
      <c r="AJ55" s="389"/>
      <c r="AK55" s="425"/>
      <c r="AN55" s="426"/>
    </row>
    <row r="56" spans="1:41">
      <c r="A56" s="270"/>
      <c r="C56" s="382"/>
      <c r="D56" s="388"/>
      <c r="E56" s="389"/>
      <c r="F56" s="389"/>
      <c r="G56" s="389"/>
      <c r="H56" s="389"/>
      <c r="I56" s="389"/>
      <c r="J56" s="389"/>
      <c r="K56" s="389"/>
      <c r="L56" s="389"/>
      <c r="M56" s="389"/>
      <c r="N56" s="389"/>
      <c r="O56" s="389"/>
      <c r="P56" s="389"/>
      <c r="Q56" s="389"/>
      <c r="R56" s="389"/>
      <c r="S56" s="389"/>
      <c r="T56" s="389"/>
      <c r="U56" s="389"/>
      <c r="V56" s="389"/>
      <c r="W56" s="389"/>
      <c r="X56" s="389"/>
      <c r="Y56" s="389"/>
      <c r="Z56" s="389"/>
      <c r="AA56" s="389"/>
      <c r="AB56" s="389"/>
      <c r="AC56" s="389"/>
      <c r="AD56" s="389"/>
      <c r="AE56" s="389"/>
      <c r="AF56" s="389"/>
      <c r="AG56" s="389"/>
      <c r="AH56" s="389"/>
      <c r="AI56" s="389"/>
      <c r="AJ56" s="389"/>
      <c r="AK56" s="425"/>
      <c r="AN56" s="426"/>
    </row>
    <row r="57" spans="1:41">
      <c r="A57" s="270"/>
      <c r="C57" s="382"/>
      <c r="D57" s="383"/>
      <c r="E57" s="384"/>
      <c r="F57" s="384"/>
      <c r="G57" s="384"/>
      <c r="H57" s="384"/>
      <c r="I57" s="384"/>
      <c r="J57" s="384"/>
      <c r="K57" s="384"/>
      <c r="L57" s="384"/>
      <c r="M57" s="384"/>
      <c r="N57" s="384"/>
      <c r="O57" s="384"/>
      <c r="P57" s="384"/>
      <c r="Q57" s="384"/>
      <c r="R57" s="384"/>
      <c r="S57" s="384"/>
      <c r="T57" s="384"/>
      <c r="U57" s="384"/>
      <c r="V57" s="384"/>
      <c r="W57" s="384"/>
      <c r="X57" s="384"/>
      <c r="Y57" s="384"/>
      <c r="Z57" s="384"/>
      <c r="AA57" s="384"/>
      <c r="AB57" s="384"/>
      <c r="AC57" s="384"/>
      <c r="AD57" s="384"/>
      <c r="AE57" s="384"/>
      <c r="AF57" s="384"/>
      <c r="AG57" s="384"/>
      <c r="AH57" s="384"/>
      <c r="AI57" s="384"/>
      <c r="AJ57" s="384"/>
      <c r="AK57" s="424"/>
      <c r="AN57" s="426"/>
    </row>
    <row r="58" spans="1:41">
      <c r="A58" s="270"/>
      <c r="C58" s="382"/>
      <c r="D58" s="383"/>
      <c r="E58" s="384"/>
      <c r="F58" s="384"/>
      <c r="G58" s="384"/>
      <c r="H58" s="384"/>
      <c r="I58" s="384"/>
      <c r="J58" s="384"/>
      <c r="K58" s="384"/>
      <c r="L58" s="384"/>
      <c r="M58" s="384"/>
      <c r="N58" s="384"/>
      <c r="O58" s="384"/>
      <c r="P58" s="384"/>
      <c r="Q58" s="384"/>
      <c r="R58" s="384"/>
      <c r="S58" s="384"/>
      <c r="T58" s="384"/>
      <c r="U58" s="384"/>
      <c r="V58" s="384"/>
      <c r="W58" s="384"/>
      <c r="X58" s="384"/>
      <c r="Y58" s="384"/>
      <c r="Z58" s="384"/>
      <c r="AA58" s="384"/>
      <c r="AB58" s="384"/>
      <c r="AC58" s="384"/>
      <c r="AD58" s="384"/>
      <c r="AE58" s="384"/>
      <c r="AF58" s="384"/>
      <c r="AG58" s="384"/>
      <c r="AH58" s="384"/>
      <c r="AI58" s="384"/>
      <c r="AJ58" s="384"/>
      <c r="AK58" s="424"/>
      <c r="AN58" s="426"/>
      <c r="AO58" s="426"/>
    </row>
    <row r="59" spans="1:41" ht="16.5" thickBot="1">
      <c r="A59" s="270"/>
      <c r="C59" s="385" t="s">
        <v>473</v>
      </c>
      <c r="D59" s="273">
        <v>0</v>
      </c>
      <c r="E59" s="274">
        <v>0</v>
      </c>
      <c r="F59" s="274">
        <v>0</v>
      </c>
      <c r="G59" s="274">
        <v>0</v>
      </c>
      <c r="H59" s="274">
        <v>14994840</v>
      </c>
      <c r="I59" s="274">
        <v>14592614.81838138</v>
      </c>
      <c r="J59" s="274">
        <v>14142122.614968525</v>
      </c>
      <c r="K59" s="274">
        <v>13637571.347146131</v>
      </c>
      <c r="L59" s="274">
        <v>13072473.927185046</v>
      </c>
      <c r="M59" s="274">
        <v>12439564.816828633</v>
      </c>
      <c r="N59" s="274">
        <v>11730706.613229448</v>
      </c>
      <c r="O59" s="274">
        <v>10936785.425198361</v>
      </c>
      <c r="P59" s="274">
        <v>10047593.694603546</v>
      </c>
      <c r="Q59" s="274">
        <v>9051698.9563373532</v>
      </c>
      <c r="R59" s="274">
        <v>7936296.8494792143</v>
      </c>
      <c r="S59" s="274">
        <v>6687046.4897981007</v>
      </c>
      <c r="T59" s="274">
        <v>5287886.086955253</v>
      </c>
      <c r="U59" s="274">
        <v>3720826.4357712637</v>
      </c>
      <c r="V59" s="274">
        <v>1965719.6264451961</v>
      </c>
      <c r="W59" s="274">
        <v>0</v>
      </c>
      <c r="X59" s="274">
        <v>0</v>
      </c>
      <c r="Y59" s="274">
        <v>0</v>
      </c>
      <c r="Z59" s="274">
        <v>0</v>
      </c>
      <c r="AA59" s="274">
        <v>0</v>
      </c>
      <c r="AB59" s="274">
        <v>0</v>
      </c>
      <c r="AC59" s="274">
        <v>0</v>
      </c>
      <c r="AD59" s="274">
        <v>0</v>
      </c>
      <c r="AE59" s="274">
        <v>0</v>
      </c>
      <c r="AF59" s="274">
        <v>0</v>
      </c>
      <c r="AG59" s="274">
        <v>0</v>
      </c>
      <c r="AH59" s="274">
        <v>0</v>
      </c>
      <c r="AI59" s="274">
        <v>0</v>
      </c>
      <c r="AJ59" s="274">
        <v>0</v>
      </c>
      <c r="AK59" s="275"/>
    </row>
    <row r="60" spans="1:41" ht="3.75" customHeight="1">
      <c r="A60" s="270"/>
    </row>
    <row r="61" spans="1:41">
      <c r="A61" s="270"/>
      <c r="C61" s="391" t="s">
        <v>499</v>
      </c>
      <c r="D61" s="392"/>
      <c r="E61" s="393"/>
      <c r="F61" s="393"/>
      <c r="G61" s="393"/>
      <c r="H61" s="393"/>
      <c r="I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c r="AI61" s="393"/>
      <c r="AJ61" s="393"/>
      <c r="AK61" s="425"/>
      <c r="AN61" s="426"/>
    </row>
    <row r="62" spans="1:41">
      <c r="A62" s="270"/>
      <c r="C62" s="382"/>
      <c r="D62" s="388"/>
      <c r="E62" s="389"/>
      <c r="F62" s="389"/>
      <c r="G62" s="389"/>
      <c r="H62" s="389"/>
      <c r="I62" s="389"/>
      <c r="J62" s="389"/>
      <c r="K62" s="389"/>
      <c r="L62" s="389"/>
      <c r="M62" s="389"/>
      <c r="N62" s="389"/>
      <c r="O62" s="389"/>
      <c r="P62" s="389"/>
      <c r="Q62" s="389"/>
      <c r="R62" s="389"/>
      <c r="S62" s="389"/>
      <c r="T62" s="389"/>
      <c r="U62" s="389"/>
      <c r="V62" s="389"/>
      <c r="W62" s="389"/>
      <c r="X62" s="389"/>
      <c r="Y62" s="389"/>
      <c r="Z62" s="389"/>
      <c r="AA62" s="389"/>
      <c r="AB62" s="389"/>
      <c r="AC62" s="389"/>
      <c r="AD62" s="389"/>
      <c r="AE62" s="389"/>
      <c r="AF62" s="389"/>
      <c r="AG62" s="389"/>
      <c r="AH62" s="389"/>
      <c r="AI62" s="389"/>
      <c r="AJ62" s="389"/>
      <c r="AK62" s="425"/>
      <c r="AN62" s="426"/>
    </row>
    <row r="63" spans="1:41">
      <c r="A63" s="270"/>
      <c r="C63" s="382"/>
      <c r="D63" s="388"/>
      <c r="E63" s="389"/>
      <c r="F63" s="389"/>
      <c r="G63" s="389"/>
      <c r="H63" s="389"/>
      <c r="I63" s="389"/>
      <c r="J63" s="389"/>
      <c r="K63" s="389"/>
      <c r="L63" s="389"/>
      <c r="M63" s="389"/>
      <c r="N63" s="389"/>
      <c r="O63" s="389"/>
      <c r="P63" s="389"/>
      <c r="Q63" s="389"/>
      <c r="R63" s="389"/>
      <c r="S63" s="389"/>
      <c r="T63" s="389"/>
      <c r="U63" s="389"/>
      <c r="V63" s="389"/>
      <c r="W63" s="389"/>
      <c r="X63" s="389"/>
      <c r="Y63" s="389"/>
      <c r="Z63" s="389"/>
      <c r="AA63" s="389"/>
      <c r="AB63" s="389"/>
      <c r="AC63" s="389"/>
      <c r="AD63" s="389"/>
      <c r="AE63" s="389"/>
      <c r="AF63" s="389"/>
      <c r="AG63" s="389"/>
      <c r="AH63" s="389"/>
      <c r="AI63" s="389"/>
      <c r="AJ63" s="389"/>
      <c r="AK63" s="425"/>
      <c r="AN63" s="426"/>
    </row>
    <row r="64" spans="1:41">
      <c r="A64" s="270"/>
      <c r="C64" s="382"/>
      <c r="D64" s="388"/>
      <c r="E64" s="389"/>
      <c r="F64" s="389"/>
      <c r="G64" s="389"/>
      <c r="H64" s="389"/>
      <c r="I64" s="389"/>
      <c r="J64" s="389"/>
      <c r="K64" s="389"/>
      <c r="L64" s="389"/>
      <c r="M64" s="389"/>
      <c r="N64" s="389"/>
      <c r="O64" s="389"/>
      <c r="P64" s="389"/>
      <c r="Q64" s="389"/>
      <c r="R64" s="389"/>
      <c r="S64" s="389"/>
      <c r="T64" s="389"/>
      <c r="U64" s="389"/>
      <c r="V64" s="389"/>
      <c r="W64" s="389"/>
      <c r="X64" s="389"/>
      <c r="Y64" s="389"/>
      <c r="Z64" s="389"/>
      <c r="AA64" s="389"/>
      <c r="AB64" s="389"/>
      <c r="AC64" s="389"/>
      <c r="AD64" s="389"/>
      <c r="AE64" s="389"/>
      <c r="AF64" s="389"/>
      <c r="AG64" s="389"/>
      <c r="AH64" s="389"/>
      <c r="AI64" s="389"/>
      <c r="AJ64" s="389"/>
      <c r="AK64" s="425"/>
      <c r="AN64" s="426"/>
    </row>
    <row r="65" spans="1:41">
      <c r="A65" s="270"/>
      <c r="C65" s="382"/>
      <c r="D65" s="388"/>
      <c r="E65" s="389"/>
      <c r="F65" s="389"/>
      <c r="G65" s="389"/>
      <c r="H65" s="389"/>
      <c r="I65" s="389"/>
      <c r="J65" s="389"/>
      <c r="K65" s="389"/>
      <c r="L65" s="389"/>
      <c r="M65" s="389"/>
      <c r="N65" s="389"/>
      <c r="O65" s="389"/>
      <c r="P65" s="389"/>
      <c r="Q65" s="389"/>
      <c r="R65" s="389"/>
      <c r="S65" s="389"/>
      <c r="T65" s="389"/>
      <c r="U65" s="389"/>
      <c r="V65" s="389"/>
      <c r="W65" s="389"/>
      <c r="X65" s="389"/>
      <c r="Y65" s="389"/>
      <c r="Z65" s="389"/>
      <c r="AA65" s="389"/>
      <c r="AB65" s="389"/>
      <c r="AC65" s="389"/>
      <c r="AD65" s="389"/>
      <c r="AE65" s="389"/>
      <c r="AF65" s="389"/>
      <c r="AG65" s="389"/>
      <c r="AH65" s="389"/>
      <c r="AI65" s="389"/>
      <c r="AJ65" s="389"/>
      <c r="AK65" s="425"/>
      <c r="AN65" s="426"/>
    </row>
    <row r="66" spans="1:41">
      <c r="A66" s="270"/>
      <c r="C66" s="382"/>
      <c r="D66" s="388"/>
      <c r="E66" s="389"/>
      <c r="F66" s="389"/>
      <c r="G66" s="389"/>
      <c r="H66" s="389"/>
      <c r="I66" s="389"/>
      <c r="J66" s="389"/>
      <c r="K66" s="389"/>
      <c r="L66" s="389"/>
      <c r="M66" s="389"/>
      <c r="N66" s="389"/>
      <c r="O66" s="389"/>
      <c r="P66" s="389"/>
      <c r="Q66" s="389"/>
      <c r="R66" s="389"/>
      <c r="S66" s="389"/>
      <c r="T66" s="389"/>
      <c r="U66" s="389"/>
      <c r="V66" s="389"/>
      <c r="W66" s="389"/>
      <c r="X66" s="389"/>
      <c r="Y66" s="389"/>
      <c r="Z66" s="389"/>
      <c r="AA66" s="389"/>
      <c r="AB66" s="389"/>
      <c r="AC66" s="389"/>
      <c r="AD66" s="389"/>
      <c r="AE66" s="389"/>
      <c r="AF66" s="389"/>
      <c r="AG66" s="389"/>
      <c r="AH66" s="389"/>
      <c r="AI66" s="389"/>
      <c r="AJ66" s="389"/>
      <c r="AK66" s="425"/>
      <c r="AN66" s="426"/>
    </row>
    <row r="67" spans="1:41">
      <c r="A67" s="270"/>
      <c r="C67" s="382"/>
      <c r="D67" s="388"/>
      <c r="E67" s="389"/>
      <c r="F67" s="389"/>
      <c r="G67" s="389"/>
      <c r="H67" s="389"/>
      <c r="I67" s="389"/>
      <c r="J67" s="389"/>
      <c r="K67" s="389"/>
      <c r="L67" s="389"/>
      <c r="M67" s="389"/>
      <c r="N67" s="389"/>
      <c r="O67" s="389"/>
      <c r="P67" s="389"/>
      <c r="Q67" s="389"/>
      <c r="R67" s="389"/>
      <c r="S67" s="389"/>
      <c r="T67" s="389"/>
      <c r="U67" s="389"/>
      <c r="V67" s="389"/>
      <c r="W67" s="389"/>
      <c r="X67" s="389"/>
      <c r="Y67" s="389"/>
      <c r="Z67" s="389"/>
      <c r="AA67" s="389"/>
      <c r="AB67" s="389"/>
      <c r="AC67" s="389"/>
      <c r="AD67" s="389"/>
      <c r="AE67" s="389"/>
      <c r="AF67" s="389"/>
      <c r="AG67" s="389"/>
      <c r="AH67" s="389"/>
      <c r="AI67" s="389"/>
      <c r="AJ67" s="389"/>
      <c r="AK67" s="425"/>
      <c r="AN67" s="426"/>
    </row>
    <row r="68" spans="1:41">
      <c r="A68" s="270"/>
      <c r="C68" s="382"/>
      <c r="D68" s="383"/>
      <c r="E68" s="384"/>
      <c r="F68" s="384"/>
      <c r="G68" s="384"/>
      <c r="H68" s="384"/>
      <c r="I68" s="384"/>
      <c r="J68" s="384"/>
      <c r="K68" s="384"/>
      <c r="L68" s="384"/>
      <c r="M68" s="384"/>
      <c r="N68" s="384"/>
      <c r="O68" s="384"/>
      <c r="P68" s="384"/>
      <c r="Q68" s="384"/>
      <c r="R68" s="384"/>
      <c r="S68" s="384"/>
      <c r="T68" s="384"/>
      <c r="U68" s="384"/>
      <c r="V68" s="384"/>
      <c r="W68" s="384"/>
      <c r="X68" s="384"/>
      <c r="Y68" s="384"/>
      <c r="Z68" s="384"/>
      <c r="AA68" s="384"/>
      <c r="AB68" s="384"/>
      <c r="AC68" s="384"/>
      <c r="AD68" s="384"/>
      <c r="AE68" s="384"/>
      <c r="AF68" s="384"/>
      <c r="AG68" s="384"/>
      <c r="AH68" s="384"/>
      <c r="AI68" s="384"/>
      <c r="AJ68" s="384"/>
      <c r="AK68" s="424"/>
      <c r="AN68" s="426"/>
      <c r="AO68" s="426"/>
    </row>
    <row r="69" spans="1:41">
      <c r="A69" s="270"/>
      <c r="C69" s="382"/>
      <c r="D69" s="383"/>
      <c r="E69" s="384"/>
      <c r="F69" s="384"/>
      <c r="G69" s="384"/>
      <c r="H69" s="384"/>
      <c r="I69" s="384"/>
      <c r="J69" s="384"/>
      <c r="K69" s="384"/>
      <c r="L69" s="384"/>
      <c r="M69" s="384"/>
      <c r="N69" s="384"/>
      <c r="O69" s="384"/>
      <c r="P69" s="384"/>
      <c r="Q69" s="384"/>
      <c r="R69" s="384"/>
      <c r="S69" s="384"/>
      <c r="T69" s="384"/>
      <c r="U69" s="384"/>
      <c r="V69" s="384"/>
      <c r="W69" s="384"/>
      <c r="X69" s="384"/>
      <c r="Y69" s="384"/>
      <c r="Z69" s="384"/>
      <c r="AA69" s="384"/>
      <c r="AB69" s="384"/>
      <c r="AC69" s="384"/>
      <c r="AD69" s="384"/>
      <c r="AE69" s="384"/>
      <c r="AF69" s="384"/>
      <c r="AG69" s="384"/>
      <c r="AH69" s="384"/>
      <c r="AI69" s="384"/>
      <c r="AJ69" s="384"/>
      <c r="AK69" s="424"/>
      <c r="AN69" s="426"/>
      <c r="AO69" s="426"/>
    </row>
    <row r="70" spans="1:41">
      <c r="A70" s="270"/>
      <c r="C70" s="382"/>
      <c r="D70" s="383"/>
      <c r="E70" s="384"/>
      <c r="F70" s="384"/>
      <c r="G70" s="384"/>
      <c r="H70" s="384"/>
      <c r="I70" s="384"/>
      <c r="J70" s="384"/>
      <c r="K70" s="384"/>
      <c r="L70" s="384"/>
      <c r="M70" s="384"/>
      <c r="N70" s="384"/>
      <c r="O70" s="384"/>
      <c r="P70" s="384"/>
      <c r="Q70" s="384"/>
      <c r="R70" s="384"/>
      <c r="S70" s="384"/>
      <c r="T70" s="384"/>
      <c r="U70" s="384"/>
      <c r="V70" s="384"/>
      <c r="W70" s="384"/>
      <c r="X70" s="384"/>
      <c r="Y70" s="384"/>
      <c r="Z70" s="384"/>
      <c r="AA70" s="384"/>
      <c r="AB70" s="384"/>
      <c r="AC70" s="384"/>
      <c r="AD70" s="384"/>
      <c r="AE70" s="384"/>
      <c r="AF70" s="384"/>
      <c r="AG70" s="384"/>
      <c r="AH70" s="384"/>
      <c r="AI70" s="384"/>
      <c r="AJ70" s="384"/>
      <c r="AK70" s="424"/>
      <c r="AN70" s="426"/>
      <c r="AO70" s="426"/>
    </row>
    <row r="71" spans="1:41">
      <c r="A71" s="270"/>
      <c r="C71" s="382"/>
      <c r="D71" s="383"/>
      <c r="E71" s="384"/>
      <c r="F71" s="384"/>
      <c r="G71" s="384"/>
      <c r="H71" s="384"/>
      <c r="I71" s="384"/>
      <c r="J71" s="384"/>
      <c r="K71" s="384"/>
      <c r="L71" s="384"/>
      <c r="M71" s="384"/>
      <c r="N71" s="384"/>
      <c r="O71" s="384"/>
      <c r="P71" s="384"/>
      <c r="Q71" s="384"/>
      <c r="R71" s="384"/>
      <c r="S71" s="384"/>
      <c r="T71" s="384"/>
      <c r="U71" s="384"/>
      <c r="V71" s="384"/>
      <c r="W71" s="384"/>
      <c r="X71" s="384"/>
      <c r="Y71" s="384"/>
      <c r="Z71" s="384"/>
      <c r="AA71" s="384"/>
      <c r="AB71" s="384"/>
      <c r="AC71" s="384"/>
      <c r="AD71" s="384"/>
      <c r="AE71" s="384"/>
      <c r="AF71" s="384"/>
      <c r="AG71" s="384"/>
      <c r="AH71" s="384"/>
      <c r="AI71" s="384"/>
      <c r="AJ71" s="384"/>
      <c r="AK71" s="424"/>
      <c r="AN71" s="426"/>
      <c r="AO71" s="426"/>
    </row>
    <row r="72" spans="1:41" ht="16.5" thickBot="1">
      <c r="A72" s="270"/>
      <c r="C72" s="385" t="s">
        <v>507</v>
      </c>
      <c r="D72" s="273">
        <v>0</v>
      </c>
      <c r="E72" s="274">
        <v>0</v>
      </c>
      <c r="F72" s="274">
        <v>0</v>
      </c>
      <c r="G72" s="274">
        <v>0</v>
      </c>
      <c r="H72" s="274">
        <v>0</v>
      </c>
      <c r="I72" s="274">
        <v>0</v>
      </c>
      <c r="J72" s="274">
        <v>0</v>
      </c>
      <c r="K72" s="274">
        <v>0</v>
      </c>
      <c r="L72" s="274">
        <v>0</v>
      </c>
      <c r="M72" s="274">
        <v>0</v>
      </c>
      <c r="N72" s="274">
        <v>0</v>
      </c>
      <c r="O72" s="274">
        <v>0</v>
      </c>
      <c r="P72" s="274">
        <v>0</v>
      </c>
      <c r="Q72" s="274">
        <v>0</v>
      </c>
      <c r="R72" s="274">
        <v>0</v>
      </c>
      <c r="S72" s="274">
        <v>0</v>
      </c>
      <c r="T72" s="274">
        <v>0</v>
      </c>
      <c r="U72" s="274">
        <v>0</v>
      </c>
      <c r="V72" s="274">
        <v>0</v>
      </c>
      <c r="W72" s="274">
        <v>0</v>
      </c>
      <c r="X72" s="274">
        <v>0</v>
      </c>
      <c r="Y72" s="274">
        <v>0</v>
      </c>
      <c r="Z72" s="274">
        <v>0</v>
      </c>
      <c r="AA72" s="274">
        <v>0</v>
      </c>
      <c r="AB72" s="274">
        <v>0</v>
      </c>
      <c r="AC72" s="274">
        <v>0</v>
      </c>
      <c r="AD72" s="274">
        <v>0</v>
      </c>
      <c r="AE72" s="274">
        <v>0</v>
      </c>
      <c r="AF72" s="274">
        <v>0</v>
      </c>
      <c r="AG72" s="274">
        <v>0</v>
      </c>
      <c r="AH72" s="274">
        <v>0</v>
      </c>
      <c r="AI72" s="274">
        <v>0</v>
      </c>
      <c r="AJ72" s="274">
        <v>0</v>
      </c>
      <c r="AK72" s="275"/>
    </row>
    <row r="73" spans="1:41" ht="3.75" customHeight="1">
      <c r="A73" s="270"/>
      <c r="D73" s="426"/>
      <c r="E73" s="426"/>
      <c r="F73" s="426"/>
      <c r="G73" s="426"/>
      <c r="H73" s="426"/>
      <c r="I73" s="426"/>
      <c r="J73" s="426"/>
      <c r="K73" s="426"/>
      <c r="L73" s="426"/>
      <c r="M73" s="426"/>
      <c r="N73" s="426"/>
      <c r="O73" s="426"/>
      <c r="P73" s="426"/>
      <c r="Q73" s="426"/>
      <c r="R73" s="426"/>
      <c r="S73" s="426"/>
      <c r="T73" s="426"/>
      <c r="U73" s="426"/>
      <c r="V73" s="426"/>
      <c r="W73" s="426"/>
      <c r="X73" s="426"/>
      <c r="Y73" s="426"/>
      <c r="Z73" s="426"/>
      <c r="AA73" s="426"/>
      <c r="AB73" s="426"/>
      <c r="AC73" s="426"/>
      <c r="AD73" s="426"/>
      <c r="AE73" s="426"/>
      <c r="AF73" s="426"/>
      <c r="AG73" s="426"/>
      <c r="AH73" s="426"/>
      <c r="AI73" s="426"/>
      <c r="AJ73" s="426"/>
    </row>
    <row r="74" spans="1:41">
      <c r="A74" s="270"/>
      <c r="C74" s="391" t="s">
        <v>508</v>
      </c>
      <c r="D74" s="392"/>
      <c r="E74" s="393"/>
      <c r="F74" s="393"/>
      <c r="G74" s="393"/>
      <c r="H74" s="393"/>
      <c r="I74" s="393"/>
      <c r="J74" s="393"/>
      <c r="K74" s="393"/>
      <c r="L74" s="393"/>
      <c r="M74" s="393"/>
      <c r="N74" s="393"/>
      <c r="O74" s="393"/>
      <c r="P74" s="393"/>
      <c r="Q74" s="393"/>
      <c r="R74" s="393"/>
      <c r="S74" s="393"/>
      <c r="T74" s="393"/>
      <c r="U74" s="393"/>
      <c r="V74" s="393"/>
      <c r="W74" s="393"/>
      <c r="X74" s="393"/>
      <c r="Y74" s="393"/>
      <c r="Z74" s="393"/>
      <c r="AA74" s="393"/>
      <c r="AB74" s="393"/>
      <c r="AC74" s="393"/>
      <c r="AD74" s="393"/>
      <c r="AE74" s="393"/>
      <c r="AF74" s="393"/>
      <c r="AG74" s="393"/>
      <c r="AH74" s="393"/>
      <c r="AI74" s="393"/>
      <c r="AJ74" s="393"/>
      <c r="AK74" s="425"/>
      <c r="AN74" s="426"/>
    </row>
    <row r="75" spans="1:41">
      <c r="A75" s="270"/>
      <c r="C75" s="382"/>
      <c r="D75" s="388"/>
      <c r="E75" s="389"/>
      <c r="F75" s="389"/>
      <c r="G75" s="389"/>
      <c r="H75" s="389"/>
      <c r="I75" s="389"/>
      <c r="J75" s="389"/>
      <c r="K75" s="389"/>
      <c r="L75" s="389"/>
      <c r="M75" s="389"/>
      <c r="N75" s="389"/>
      <c r="O75" s="389"/>
      <c r="P75" s="389"/>
      <c r="Q75" s="389"/>
      <c r="R75" s="389"/>
      <c r="S75" s="389"/>
      <c r="T75" s="389"/>
      <c r="U75" s="389"/>
      <c r="V75" s="389"/>
      <c r="W75" s="389"/>
      <c r="X75" s="389"/>
      <c r="Y75" s="389"/>
      <c r="Z75" s="389"/>
      <c r="AA75" s="389"/>
      <c r="AB75" s="389"/>
      <c r="AC75" s="389"/>
      <c r="AD75" s="389"/>
      <c r="AE75" s="389"/>
      <c r="AF75" s="389"/>
      <c r="AG75" s="389"/>
      <c r="AH75" s="389"/>
      <c r="AI75" s="389"/>
      <c r="AJ75" s="389"/>
      <c r="AK75" s="425"/>
      <c r="AN75" s="426"/>
    </row>
    <row r="76" spans="1:41">
      <c r="A76" s="270"/>
      <c r="C76" s="382"/>
      <c r="D76" s="388"/>
      <c r="E76" s="389"/>
      <c r="F76" s="389"/>
      <c r="G76" s="389"/>
      <c r="H76" s="389"/>
      <c r="I76" s="389"/>
      <c r="J76" s="389"/>
      <c r="K76" s="389"/>
      <c r="L76" s="389"/>
      <c r="M76" s="389"/>
      <c r="N76" s="389"/>
      <c r="O76" s="389"/>
      <c r="P76" s="389"/>
      <c r="Q76" s="389"/>
      <c r="R76" s="389"/>
      <c r="S76" s="389"/>
      <c r="T76" s="389"/>
      <c r="U76" s="389"/>
      <c r="V76" s="389"/>
      <c r="W76" s="389"/>
      <c r="X76" s="389"/>
      <c r="Y76" s="389"/>
      <c r="Z76" s="389"/>
      <c r="AA76" s="389"/>
      <c r="AB76" s="389"/>
      <c r="AC76" s="389"/>
      <c r="AD76" s="389"/>
      <c r="AE76" s="389"/>
      <c r="AF76" s="389"/>
      <c r="AG76" s="389"/>
      <c r="AH76" s="389"/>
      <c r="AI76" s="389"/>
      <c r="AJ76" s="389"/>
      <c r="AK76" s="425"/>
      <c r="AN76" s="426"/>
    </row>
    <row r="77" spans="1:41">
      <c r="A77" s="270"/>
      <c r="C77" s="382"/>
      <c r="D77" s="388"/>
      <c r="E77" s="389"/>
      <c r="F77" s="389"/>
      <c r="G77" s="389"/>
      <c r="H77" s="389"/>
      <c r="I77" s="389"/>
      <c r="J77" s="389"/>
      <c r="K77" s="389"/>
      <c r="L77" s="389"/>
      <c r="M77" s="389"/>
      <c r="N77" s="389"/>
      <c r="O77" s="389"/>
      <c r="P77" s="389"/>
      <c r="Q77" s="389"/>
      <c r="R77" s="389"/>
      <c r="S77" s="389"/>
      <c r="T77" s="389"/>
      <c r="U77" s="389"/>
      <c r="V77" s="389"/>
      <c r="W77" s="389"/>
      <c r="X77" s="389"/>
      <c r="Y77" s="389"/>
      <c r="Z77" s="389"/>
      <c r="AA77" s="389"/>
      <c r="AB77" s="389"/>
      <c r="AC77" s="389"/>
      <c r="AD77" s="389"/>
      <c r="AE77" s="389"/>
      <c r="AF77" s="389"/>
      <c r="AG77" s="389"/>
      <c r="AH77" s="389"/>
      <c r="AI77" s="389"/>
      <c r="AJ77" s="389"/>
      <c r="AK77" s="425"/>
      <c r="AN77" s="426"/>
    </row>
    <row r="78" spans="1:41">
      <c r="A78" s="270"/>
      <c r="C78" s="382"/>
      <c r="D78" s="388"/>
      <c r="E78" s="389"/>
      <c r="F78" s="389"/>
      <c r="G78" s="389"/>
      <c r="H78" s="389"/>
      <c r="I78" s="389"/>
      <c r="J78" s="389"/>
      <c r="K78" s="389"/>
      <c r="L78" s="389"/>
      <c r="M78" s="389"/>
      <c r="N78" s="389"/>
      <c r="O78" s="389"/>
      <c r="P78" s="389"/>
      <c r="Q78" s="389"/>
      <c r="R78" s="389"/>
      <c r="S78" s="389"/>
      <c r="T78" s="389"/>
      <c r="U78" s="389"/>
      <c r="V78" s="389"/>
      <c r="W78" s="389"/>
      <c r="X78" s="389"/>
      <c r="Y78" s="389"/>
      <c r="Z78" s="389"/>
      <c r="AA78" s="389"/>
      <c r="AB78" s="389"/>
      <c r="AC78" s="389"/>
      <c r="AD78" s="389"/>
      <c r="AE78" s="389"/>
      <c r="AF78" s="389"/>
      <c r="AG78" s="389"/>
      <c r="AH78" s="389"/>
      <c r="AI78" s="389"/>
      <c r="AJ78" s="389"/>
      <c r="AK78" s="425"/>
      <c r="AN78" s="426"/>
    </row>
    <row r="79" spans="1:41">
      <c r="A79" s="270"/>
      <c r="C79" s="382"/>
      <c r="D79" s="388"/>
      <c r="E79" s="389"/>
      <c r="F79" s="389"/>
      <c r="G79" s="389"/>
      <c r="H79" s="389"/>
      <c r="I79" s="389"/>
      <c r="J79" s="389"/>
      <c r="K79" s="389"/>
      <c r="L79" s="389"/>
      <c r="M79" s="389"/>
      <c r="N79" s="389"/>
      <c r="O79" s="389"/>
      <c r="P79" s="389"/>
      <c r="Q79" s="389"/>
      <c r="R79" s="389"/>
      <c r="S79" s="389"/>
      <c r="T79" s="389"/>
      <c r="U79" s="389"/>
      <c r="V79" s="389"/>
      <c r="W79" s="389"/>
      <c r="X79" s="389"/>
      <c r="Y79" s="389"/>
      <c r="Z79" s="389"/>
      <c r="AA79" s="389"/>
      <c r="AB79" s="389"/>
      <c r="AC79" s="389"/>
      <c r="AD79" s="389"/>
      <c r="AE79" s="389"/>
      <c r="AF79" s="389"/>
      <c r="AG79" s="389"/>
      <c r="AH79" s="389"/>
      <c r="AI79" s="389"/>
      <c r="AJ79" s="389"/>
      <c r="AK79" s="425"/>
      <c r="AN79" s="426"/>
    </row>
    <row r="80" spans="1:41">
      <c r="A80" s="270"/>
      <c r="C80" s="427"/>
      <c r="D80" s="428"/>
      <c r="E80" s="429"/>
      <c r="F80" s="429"/>
      <c r="G80" s="429"/>
      <c r="H80" s="429"/>
      <c r="I80" s="429"/>
      <c r="J80" s="429"/>
      <c r="K80" s="429"/>
      <c r="L80" s="429"/>
      <c r="M80" s="429"/>
      <c r="N80" s="429"/>
      <c r="O80" s="429"/>
      <c r="P80" s="429"/>
      <c r="Q80" s="429"/>
      <c r="R80" s="429"/>
      <c r="S80" s="429"/>
      <c r="T80" s="429"/>
      <c r="U80" s="429"/>
      <c r="V80" s="429"/>
      <c r="W80" s="429"/>
      <c r="X80" s="429"/>
      <c r="Y80" s="429"/>
      <c r="Z80" s="429"/>
      <c r="AA80" s="429"/>
      <c r="AB80" s="429"/>
      <c r="AC80" s="429"/>
      <c r="AD80" s="429"/>
      <c r="AE80" s="429"/>
      <c r="AF80" s="429"/>
      <c r="AG80" s="429"/>
      <c r="AH80" s="429"/>
      <c r="AI80" s="429"/>
      <c r="AJ80" s="429"/>
      <c r="AK80" s="424"/>
      <c r="AN80" s="426"/>
      <c r="AO80" s="426"/>
    </row>
    <row r="81" spans="1:36">
      <c r="A81" s="270"/>
      <c r="D81" s="426"/>
      <c r="E81" s="426"/>
      <c r="F81" s="426"/>
      <c r="G81" s="426"/>
      <c r="H81" s="426"/>
      <c r="I81" s="426"/>
      <c r="J81" s="426"/>
      <c r="K81" s="426"/>
      <c r="L81" s="426"/>
      <c r="M81" s="426"/>
      <c r="N81" s="426"/>
      <c r="O81" s="426"/>
      <c r="P81" s="426"/>
      <c r="Q81" s="426"/>
      <c r="R81" s="426"/>
      <c r="S81" s="426"/>
      <c r="T81" s="426"/>
      <c r="U81" s="426"/>
      <c r="V81" s="426"/>
      <c r="W81" s="426"/>
      <c r="X81" s="426"/>
      <c r="Y81" s="426"/>
      <c r="Z81" s="426"/>
      <c r="AA81" s="426"/>
      <c r="AB81" s="426"/>
      <c r="AC81" s="426"/>
      <c r="AD81" s="426"/>
      <c r="AE81" s="426"/>
      <c r="AF81" s="426"/>
      <c r="AG81" s="426"/>
      <c r="AH81" s="426"/>
      <c r="AI81" s="426"/>
      <c r="AJ81" s="426"/>
    </row>
    <row r="82" spans="1:36">
      <c r="A82" s="270"/>
      <c r="D82" s="426"/>
      <c r="E82" s="426"/>
      <c r="F82" s="426"/>
      <c r="G82" s="426"/>
      <c r="H82" s="426"/>
      <c r="I82" s="426"/>
      <c r="J82" s="426"/>
      <c r="K82" s="426"/>
      <c r="L82" s="426"/>
      <c r="M82" s="426"/>
      <c r="N82" s="426"/>
      <c r="O82" s="426"/>
      <c r="P82" s="426"/>
      <c r="Q82" s="426"/>
      <c r="R82" s="426"/>
      <c r="S82" s="426"/>
      <c r="T82" s="426"/>
      <c r="U82" s="426"/>
      <c r="V82" s="426"/>
      <c r="W82" s="426"/>
      <c r="X82" s="426"/>
      <c r="Y82" s="426"/>
      <c r="Z82" s="426"/>
      <c r="AA82" s="426"/>
      <c r="AB82" s="426"/>
      <c r="AC82" s="426"/>
      <c r="AD82" s="426"/>
      <c r="AE82" s="426"/>
      <c r="AF82" s="426"/>
      <c r="AG82" s="426"/>
      <c r="AH82" s="426"/>
      <c r="AI82" s="426"/>
      <c r="AJ82" s="426"/>
    </row>
    <row r="83" spans="1:36">
      <c r="A83" s="270"/>
      <c r="D83" s="426"/>
      <c r="E83" s="426"/>
      <c r="F83" s="426"/>
      <c r="G83" s="426"/>
      <c r="H83" s="426"/>
      <c r="I83" s="426"/>
      <c r="J83" s="426"/>
      <c r="K83" s="426"/>
      <c r="L83" s="426"/>
      <c r="M83" s="426"/>
      <c r="N83" s="426"/>
      <c r="O83" s="426"/>
      <c r="P83" s="426"/>
      <c r="Q83" s="426"/>
      <c r="R83" s="426"/>
      <c r="S83" s="426"/>
      <c r="T83" s="426"/>
      <c r="U83" s="426"/>
      <c r="V83" s="426"/>
      <c r="W83" s="426"/>
      <c r="X83" s="426"/>
      <c r="Y83" s="426"/>
      <c r="Z83" s="426"/>
      <c r="AA83" s="426"/>
      <c r="AB83" s="426"/>
      <c r="AC83" s="426"/>
      <c r="AD83" s="426"/>
      <c r="AE83" s="426"/>
      <c r="AF83" s="426"/>
      <c r="AG83" s="426"/>
      <c r="AH83" s="426"/>
      <c r="AI83" s="426"/>
      <c r="AJ83" s="426"/>
    </row>
    <row r="84" spans="1:36">
      <c r="A84" s="270"/>
      <c r="D84" s="426"/>
      <c r="E84" s="426"/>
      <c r="F84" s="426"/>
      <c r="G84" s="426"/>
      <c r="H84" s="426"/>
      <c r="I84" s="426"/>
      <c r="J84" s="426"/>
      <c r="K84" s="426"/>
      <c r="L84" s="426"/>
      <c r="M84" s="426"/>
      <c r="N84" s="426"/>
      <c r="O84" s="426"/>
      <c r="P84" s="426"/>
      <c r="Q84" s="426"/>
      <c r="R84" s="426"/>
      <c r="S84" s="426"/>
      <c r="T84" s="426"/>
      <c r="U84" s="426"/>
      <c r="V84" s="426"/>
      <c r="W84" s="426"/>
      <c r="X84" s="426"/>
      <c r="Y84" s="426"/>
      <c r="Z84" s="426"/>
      <c r="AA84" s="426"/>
      <c r="AB84" s="426"/>
      <c r="AC84" s="426"/>
      <c r="AD84" s="426"/>
      <c r="AE84" s="426"/>
      <c r="AF84" s="426"/>
      <c r="AG84" s="426"/>
      <c r="AH84" s="426"/>
      <c r="AI84" s="426"/>
      <c r="AJ84" s="426"/>
    </row>
    <row r="85" spans="1:36">
      <c r="A85" s="270"/>
      <c r="D85" s="426"/>
      <c r="E85" s="426"/>
      <c r="F85" s="426"/>
      <c r="G85" s="426"/>
      <c r="H85" s="426"/>
      <c r="I85" s="426"/>
      <c r="J85" s="426"/>
      <c r="K85" s="426"/>
      <c r="L85" s="426"/>
      <c r="M85" s="426"/>
      <c r="N85" s="426"/>
      <c r="O85" s="426"/>
      <c r="P85" s="426"/>
      <c r="Q85" s="426"/>
      <c r="R85" s="426"/>
      <c r="S85" s="426"/>
      <c r="T85" s="426"/>
      <c r="U85" s="426"/>
      <c r="V85" s="426"/>
      <c r="W85" s="426"/>
      <c r="X85" s="426"/>
      <c r="Y85" s="426"/>
      <c r="Z85" s="426"/>
      <c r="AA85" s="426"/>
      <c r="AB85" s="426"/>
      <c r="AC85" s="426"/>
      <c r="AD85" s="426"/>
      <c r="AE85" s="426"/>
      <c r="AF85" s="426"/>
      <c r="AG85" s="426"/>
      <c r="AH85" s="426"/>
      <c r="AI85" s="426"/>
      <c r="AJ85" s="426"/>
    </row>
    <row r="86" spans="1:36">
      <c r="A86" s="270"/>
      <c r="D86" s="426"/>
      <c r="E86" s="426"/>
      <c r="F86" s="426"/>
      <c r="G86" s="426"/>
      <c r="H86" s="426"/>
      <c r="I86" s="426"/>
      <c r="J86" s="426"/>
      <c r="K86" s="426"/>
      <c r="L86" s="426"/>
      <c r="M86" s="426"/>
      <c r="N86" s="426"/>
      <c r="O86" s="426"/>
      <c r="P86" s="426"/>
      <c r="Q86" s="426"/>
      <c r="R86" s="426"/>
      <c r="S86" s="426"/>
      <c r="T86" s="426"/>
      <c r="U86" s="426"/>
      <c r="V86" s="426"/>
      <c r="W86" s="426"/>
      <c r="X86" s="426"/>
      <c r="Y86" s="426"/>
      <c r="Z86" s="426"/>
      <c r="AA86" s="426"/>
      <c r="AB86" s="426"/>
      <c r="AC86" s="426"/>
      <c r="AD86" s="426"/>
      <c r="AE86" s="426"/>
      <c r="AF86" s="426"/>
      <c r="AG86" s="426"/>
      <c r="AH86" s="426"/>
      <c r="AI86" s="426"/>
      <c r="AJ86" s="426"/>
    </row>
    <row r="87" spans="1:36">
      <c r="A87" s="270"/>
      <c r="D87" s="426"/>
      <c r="E87" s="426"/>
      <c r="F87" s="426"/>
      <c r="G87" s="426"/>
      <c r="H87" s="426"/>
      <c r="I87" s="426"/>
      <c r="J87" s="426"/>
      <c r="K87" s="426"/>
      <c r="L87" s="426"/>
      <c r="M87" s="426"/>
      <c r="N87" s="426"/>
      <c r="O87" s="426"/>
      <c r="P87" s="426"/>
      <c r="Q87" s="426"/>
      <c r="R87" s="426"/>
      <c r="S87" s="426"/>
      <c r="T87" s="426"/>
      <c r="U87" s="426"/>
      <c r="V87" s="426"/>
      <c r="W87" s="426"/>
      <c r="X87" s="426"/>
      <c r="Y87" s="426"/>
      <c r="Z87" s="426"/>
      <c r="AA87" s="426"/>
      <c r="AB87" s="426"/>
      <c r="AC87" s="426"/>
      <c r="AD87" s="426"/>
      <c r="AE87" s="426"/>
      <c r="AF87" s="426"/>
      <c r="AG87" s="426"/>
      <c r="AH87" s="426"/>
      <c r="AI87" s="426"/>
      <c r="AJ87" s="426"/>
    </row>
    <row r="88" spans="1:36">
      <c r="A88" s="270"/>
      <c r="D88" s="426"/>
      <c r="E88" s="426"/>
      <c r="F88" s="426"/>
      <c r="G88" s="426"/>
      <c r="H88" s="426"/>
      <c r="I88" s="426"/>
      <c r="J88" s="426"/>
      <c r="K88" s="426"/>
      <c r="L88" s="426"/>
      <c r="M88" s="426"/>
      <c r="N88" s="426"/>
      <c r="O88" s="426"/>
      <c r="P88" s="426"/>
      <c r="Q88" s="426"/>
      <c r="R88" s="426"/>
      <c r="S88" s="426"/>
      <c r="T88" s="426"/>
      <c r="U88" s="426"/>
      <c r="V88" s="426"/>
      <c r="W88" s="426"/>
      <c r="X88" s="426"/>
      <c r="Y88" s="426"/>
      <c r="Z88" s="426"/>
      <c r="AA88" s="426"/>
      <c r="AB88" s="426"/>
      <c r="AC88" s="426"/>
      <c r="AD88" s="426"/>
      <c r="AE88" s="426"/>
      <c r="AF88" s="426"/>
      <c r="AG88" s="426"/>
      <c r="AH88" s="426"/>
      <c r="AI88" s="426"/>
      <c r="AJ88" s="426"/>
    </row>
    <row r="89" spans="1:36" s="270" customFormat="1">
      <c r="D89" s="430"/>
      <c r="E89" s="430"/>
      <c r="F89" s="430"/>
      <c r="G89" s="430"/>
      <c r="H89" s="430"/>
      <c r="I89" s="430"/>
      <c r="J89" s="430"/>
      <c r="K89" s="430"/>
      <c r="L89" s="430"/>
      <c r="M89" s="430"/>
      <c r="N89" s="430"/>
      <c r="O89" s="430"/>
      <c r="P89" s="430"/>
      <c r="Q89" s="430"/>
      <c r="R89" s="430"/>
      <c r="S89" s="430"/>
      <c r="T89" s="430"/>
      <c r="U89" s="430"/>
      <c r="V89" s="430"/>
      <c r="W89" s="430"/>
      <c r="X89" s="430"/>
      <c r="Y89" s="430"/>
      <c r="Z89" s="430"/>
      <c r="AA89" s="430"/>
      <c r="AB89" s="430"/>
      <c r="AC89" s="430"/>
      <c r="AD89" s="430"/>
      <c r="AE89" s="430"/>
      <c r="AF89" s="430"/>
      <c r="AG89" s="430"/>
      <c r="AH89" s="430"/>
      <c r="AI89" s="430"/>
      <c r="AJ89" s="430"/>
    </row>
    <row r="90" spans="1:36">
      <c r="D90" s="426"/>
      <c r="E90" s="426"/>
      <c r="F90" s="426"/>
      <c r="G90" s="426"/>
      <c r="H90" s="426"/>
      <c r="I90" s="426"/>
      <c r="J90" s="426"/>
      <c r="K90" s="426"/>
      <c r="L90" s="426"/>
      <c r="M90" s="426"/>
      <c r="N90" s="426"/>
      <c r="O90" s="426"/>
      <c r="P90" s="426"/>
      <c r="Q90" s="426"/>
      <c r="R90" s="426"/>
      <c r="S90" s="426"/>
      <c r="T90" s="426"/>
      <c r="U90" s="426"/>
      <c r="V90" s="426"/>
      <c r="W90" s="426"/>
      <c r="X90" s="426"/>
      <c r="Y90" s="426"/>
      <c r="Z90" s="426"/>
      <c r="AA90" s="426"/>
      <c r="AB90" s="426"/>
      <c r="AC90" s="426"/>
      <c r="AD90" s="426"/>
      <c r="AE90" s="426"/>
      <c r="AF90" s="426"/>
      <c r="AG90" s="426"/>
      <c r="AH90" s="426"/>
      <c r="AI90" s="426"/>
      <c r="AJ90" s="426"/>
    </row>
    <row r="91" spans="1:36">
      <c r="D91" s="426"/>
      <c r="E91" s="426"/>
      <c r="F91" s="426"/>
      <c r="G91" s="426"/>
      <c r="H91" s="426"/>
      <c r="I91" s="426"/>
      <c r="J91" s="426"/>
      <c r="K91" s="426"/>
      <c r="L91" s="426"/>
      <c r="M91" s="426"/>
      <c r="N91" s="426"/>
      <c r="O91" s="426"/>
      <c r="P91" s="426"/>
      <c r="Q91" s="426"/>
      <c r="R91" s="426"/>
      <c r="S91" s="426"/>
      <c r="T91" s="426"/>
      <c r="U91" s="426"/>
      <c r="V91" s="426"/>
      <c r="W91" s="426"/>
      <c r="X91" s="426"/>
      <c r="Y91" s="426"/>
      <c r="Z91" s="426"/>
      <c r="AA91" s="426"/>
      <c r="AB91" s="426"/>
      <c r="AC91" s="426"/>
      <c r="AD91" s="426"/>
      <c r="AE91" s="426"/>
      <c r="AF91" s="426"/>
      <c r="AG91" s="426"/>
      <c r="AH91" s="426"/>
      <c r="AI91" s="426"/>
      <c r="AJ91" s="426"/>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A3E9E-8CB7-4300-99C3-4941C36F3458}">
  <sheetPr>
    <tabColor theme="1" tint="4.9989318521683403E-2"/>
  </sheetPr>
  <dimension ref="A1:T27"/>
  <sheetViews>
    <sheetView workbookViewId="0"/>
  </sheetViews>
  <sheetFormatPr defaultRowHeight="15"/>
  <cols>
    <col min="1" max="1" width="1.6640625" customWidth="1"/>
    <col min="2" max="2" width="23.6640625" customWidth="1"/>
    <col min="3" max="3" width="27.44140625" bestFit="1" customWidth="1"/>
    <col min="4" max="4" width="0.6640625" customWidth="1"/>
    <col min="5" max="14" width="11.44140625" customWidth="1"/>
  </cols>
  <sheetData>
    <row r="1" spans="1:20" s="8" customFormat="1" ht="70.5" customHeight="1">
      <c r="A1" s="452"/>
      <c r="B1" s="10" t="s">
        <v>649</v>
      </c>
      <c r="C1" s="11"/>
      <c r="D1" s="11"/>
      <c r="E1" s="11"/>
      <c r="F1" s="11"/>
      <c r="G1" s="11"/>
      <c r="H1" s="11"/>
      <c r="I1" s="11"/>
      <c r="J1" s="11"/>
      <c r="K1" s="11"/>
      <c r="L1" s="11"/>
      <c r="M1" s="11"/>
      <c r="N1" s="11"/>
      <c r="O1" s="11"/>
      <c r="P1" s="11"/>
      <c r="Q1" s="11"/>
      <c r="R1" s="11"/>
      <c r="S1" s="11"/>
      <c r="T1" s="11"/>
    </row>
    <row r="3" spans="1:20" s="517" customFormat="1">
      <c r="B3" s="440" t="s">
        <v>650</v>
      </c>
      <c r="C3" s="440" t="s">
        <v>651</v>
      </c>
      <c r="D3"/>
      <c r="E3" s="440">
        <v>2022</v>
      </c>
      <c r="F3" s="440">
        <f>E3+1</f>
        <v>2023</v>
      </c>
      <c r="G3" s="440">
        <f t="shared" ref="G3:N3" si="0">F3+1</f>
        <v>2024</v>
      </c>
      <c r="H3" s="440">
        <f t="shared" si="0"/>
        <v>2025</v>
      </c>
      <c r="I3" s="440">
        <f t="shared" si="0"/>
        <v>2026</v>
      </c>
      <c r="J3" s="440">
        <f t="shared" si="0"/>
        <v>2027</v>
      </c>
      <c r="K3" s="440">
        <f t="shared" si="0"/>
        <v>2028</v>
      </c>
      <c r="L3" s="440">
        <f t="shared" si="0"/>
        <v>2029</v>
      </c>
      <c r="M3" s="440">
        <f t="shared" si="0"/>
        <v>2030</v>
      </c>
      <c r="N3" s="440">
        <f t="shared" si="0"/>
        <v>2031</v>
      </c>
    </row>
    <row r="4" spans="1:20" s="517" customFormat="1" ht="3.75" customHeight="1">
      <c r="D4"/>
    </row>
    <row r="5" spans="1:20">
      <c r="B5" s="520" t="s">
        <v>6</v>
      </c>
      <c r="C5" s="521" t="s">
        <v>652</v>
      </c>
      <c r="E5" s="522">
        <f>_xlfn.XLOOKUP(E$3, 'Project Pele ROI'!$F$29:$AL$29, 'Project Pele ROI'!$F$47:$AL$47, 0)</f>
        <v>0</v>
      </c>
      <c r="F5" s="522">
        <f>_xlfn.XLOOKUP(F$3, 'Project Pele ROI'!$F$29:$AL$29, 'Project Pele ROI'!$F$47:$AL$47, 0)</f>
        <v>0</v>
      </c>
      <c r="G5" s="522">
        <f>_xlfn.XLOOKUP(G$3, 'Project Pele ROI'!$F$29:$AL$29, 'Project Pele ROI'!$F$47:$AL$47, 0)</f>
        <v>0</v>
      </c>
      <c r="H5" s="522">
        <f>_xlfn.XLOOKUP(H$3, 'Project Pele ROI'!$F$29:$AL$29, 'Project Pele ROI'!$F$47:$AL$47, 0)</f>
        <v>2519.2859999999996</v>
      </c>
      <c r="I5" s="522">
        <f>_xlfn.XLOOKUP(I$3, 'Project Pele ROI'!$F$29:$AL$29, 'Project Pele ROI'!$F$47:$AL$47, 0)</f>
        <v>7197.9599999999991</v>
      </c>
      <c r="J5" s="522">
        <f>_xlfn.XLOOKUP(J$3, 'Project Pele ROI'!$F$29:$AL$29, 'Project Pele ROI'!$F$47:$AL$47, 0)</f>
        <v>10197.959999999999</v>
      </c>
      <c r="K5" s="522">
        <f>_xlfn.XLOOKUP(K$3, 'Project Pele ROI'!$F$29:$AL$29, 'Project Pele ROI'!$F$47:$AL$47, 0)</f>
        <v>12197.96</v>
      </c>
      <c r="L5" s="522">
        <f>_xlfn.XLOOKUP(L$3, 'Project Pele ROI'!$F$29:$AL$29, 'Project Pele ROI'!$F$47:$AL$47, 0)</f>
        <v>12197.96</v>
      </c>
      <c r="M5" s="522">
        <f>_xlfn.XLOOKUP(M$3, 'Project Pele ROI'!$F$29:$AL$29, 'Project Pele ROI'!$F$47:$AL$47, 0)</f>
        <v>12197.96</v>
      </c>
      <c r="N5" s="522">
        <f>_xlfn.XLOOKUP(N$3, 'Project Pele ROI'!$F$29:$AL$29, 'Project Pele ROI'!$F$47:$AL$47, 0)</f>
        <v>12197.96</v>
      </c>
    </row>
    <row r="6" spans="1:20">
      <c r="B6" s="518"/>
      <c r="C6" s="518" t="s">
        <v>653</v>
      </c>
      <c r="E6" s="519">
        <f>IFERROR((_xlfn.XLOOKUP(E$3, 'Project Pele ROI'!$F$29:$AL$29, 'Project Pele ROI'!$F$124:$AL$124, 0) + _xlfn.XLOOKUP(E$3, 'Project Pele ROI'!$F$29:$AL$29, 'Project Pele ROI'!$F$125:$AL$125, 0)) / E$5, 0)</f>
        <v>0</v>
      </c>
      <c r="F6" s="519">
        <f>IFERROR((_xlfn.XLOOKUP(F$3, 'Project Pele ROI'!$F$29:$AL$29, 'Project Pele ROI'!$F$124:$AL$124, 0) + _xlfn.XLOOKUP(F$3, 'Project Pele ROI'!$F$29:$AL$29, 'Project Pele ROI'!$F$125:$AL$125, 0)) / F$5, 0)</f>
        <v>0</v>
      </c>
      <c r="G6" s="519">
        <f>IFERROR((_xlfn.XLOOKUP(G$3, 'Project Pele ROI'!$F$29:$AL$29, 'Project Pele ROI'!$F$124:$AL$124, 0) + _xlfn.XLOOKUP(G$3, 'Project Pele ROI'!$F$29:$AL$29, 'Project Pele ROI'!$F$125:$AL$125, 0)) / G$5, 0)</f>
        <v>0</v>
      </c>
      <c r="H6" s="519">
        <f>IFERROR((_xlfn.XLOOKUP(H$3, 'Project Pele ROI'!$F$29:$AL$29, 'Project Pele ROI'!$F$124:$AL$124, 0) + _xlfn.XLOOKUP(H$3, 'Project Pele ROI'!$F$29:$AL$29, 'Project Pele ROI'!$F$125:$AL$125, 0)) / H$5, 0)</f>
        <v>2.0586867137374343</v>
      </c>
      <c r="I6" s="519">
        <f>IFERROR((_xlfn.XLOOKUP(I$3, 'Project Pele ROI'!$F$29:$AL$29, 'Project Pele ROI'!$F$124:$AL$124, 0) + _xlfn.XLOOKUP(I$3, 'Project Pele ROI'!$F$29:$AL$29, 'Project Pele ROI'!$F$125:$AL$125, 0)) / I$5, 0)</f>
        <v>2.0586867137374343</v>
      </c>
      <c r="J6" s="519">
        <f>IFERROR((_xlfn.XLOOKUP(J$3, 'Project Pele ROI'!$F$29:$AL$29, 'Project Pele ROI'!$F$124:$AL$124, 0) + _xlfn.XLOOKUP(J$3, 'Project Pele ROI'!$F$29:$AL$29, 'Project Pele ROI'!$F$125:$AL$125, 0)) / J$5, 0)</f>
        <v>2.0586867137374343</v>
      </c>
      <c r="K6" s="519">
        <f>IFERROR((_xlfn.XLOOKUP(K$3, 'Project Pele ROI'!$F$29:$AL$29, 'Project Pele ROI'!$F$124:$AL$124, 0) + _xlfn.XLOOKUP(K$3, 'Project Pele ROI'!$F$29:$AL$29, 'Project Pele ROI'!$F$125:$AL$125, 0)) / K$5, 0)</f>
        <v>2.0586867137374343</v>
      </c>
      <c r="L6" s="519">
        <f>IFERROR((_xlfn.XLOOKUP(L$3, 'Project Pele ROI'!$F$29:$AL$29, 'Project Pele ROI'!$F$124:$AL$124, 0) + _xlfn.XLOOKUP(L$3, 'Project Pele ROI'!$F$29:$AL$29, 'Project Pele ROI'!$F$125:$AL$125, 0)) / L$5, 0)</f>
        <v>2.0586867137374343</v>
      </c>
      <c r="M6" s="519">
        <f>IFERROR((_xlfn.XLOOKUP(M$3, 'Project Pele ROI'!$F$29:$AL$29, 'Project Pele ROI'!$F$124:$AL$124, 0) + _xlfn.XLOOKUP(M$3, 'Project Pele ROI'!$F$29:$AL$29, 'Project Pele ROI'!$F$125:$AL$125, 0)) / M$5, 0)</f>
        <v>2.0586867137374343</v>
      </c>
      <c r="N6" s="519">
        <f>IFERROR((_xlfn.XLOOKUP(N$3, 'Project Pele ROI'!$F$29:$AL$29, 'Project Pele ROI'!$F$124:$AL$124, 0) + _xlfn.XLOOKUP(N$3, 'Project Pele ROI'!$F$29:$AL$29, 'Project Pele ROI'!$F$125:$AL$125, 0)) / N$5, 0)</f>
        <v>2.0586867137374343</v>
      </c>
    </row>
    <row r="7" spans="1:20">
      <c r="B7" s="523"/>
      <c r="C7" s="523" t="s">
        <v>654</v>
      </c>
      <c r="E7" s="524">
        <f>IFERROR((_xlfn.XLOOKUP(E$3, 'Project Pele ROI'!$F$29:$AL$29, 'Project Pele ROI'!$F$120:$AL$120, 0) + _xlfn.XLOOKUP(E$3, 'Project Pele ROI'!$F$29:$AL$29, 'Project Pele ROI'!$F$121:$AL$121, 0)) / E$5, 0)</f>
        <v>0</v>
      </c>
      <c r="F7" s="524">
        <f>IFERROR((_xlfn.XLOOKUP(F$3, 'Project Pele ROI'!$F$29:$AL$29, 'Project Pele ROI'!$F$120:$AL$120, 0) + _xlfn.XLOOKUP(F$3, 'Project Pele ROI'!$F$29:$AL$29, 'Project Pele ROI'!$F$121:$AL$121, 0)) / F$5, 0)</f>
        <v>0</v>
      </c>
      <c r="G7" s="524">
        <f>IFERROR((_xlfn.XLOOKUP(G$3, 'Project Pele ROI'!$F$29:$AL$29, 'Project Pele ROI'!$F$120:$AL$120, 0) + _xlfn.XLOOKUP(G$3, 'Project Pele ROI'!$F$29:$AL$29, 'Project Pele ROI'!$F$121:$AL$121, 0)) / G$5, 0)</f>
        <v>0</v>
      </c>
      <c r="H7" s="524">
        <f>IFERROR((_xlfn.XLOOKUP(H$3, 'Project Pele ROI'!$F$29:$AL$29, 'Project Pele ROI'!$F$120:$AL$120, 0) + _xlfn.XLOOKUP(H$3, 'Project Pele ROI'!$F$29:$AL$29, 'Project Pele ROI'!$F$121:$AL$121, 0)) / H$5, 0)</f>
        <v>0.51403453200629068</v>
      </c>
      <c r="I7" s="524">
        <f>IFERROR((_xlfn.XLOOKUP(I$3, 'Project Pele ROI'!$F$29:$AL$29, 'Project Pele ROI'!$F$120:$AL$120, 0) + _xlfn.XLOOKUP(I$3, 'Project Pele ROI'!$F$29:$AL$29, 'Project Pele ROI'!$F$121:$AL$121, 0)) / I$5, 0)</f>
        <v>0.5243152226464165</v>
      </c>
      <c r="J7" s="524">
        <f>IFERROR((_xlfn.XLOOKUP(J$3, 'Project Pele ROI'!$F$29:$AL$29, 'Project Pele ROI'!$F$120:$AL$120, 0) + _xlfn.XLOOKUP(J$3, 'Project Pele ROI'!$F$29:$AL$29, 'Project Pele ROI'!$F$121:$AL$121, 0)) / J$5, 0)</f>
        <v>0.53480152709934481</v>
      </c>
      <c r="K7" s="524">
        <f>IFERROR((_xlfn.XLOOKUP(K$3, 'Project Pele ROI'!$F$29:$AL$29, 'Project Pele ROI'!$F$120:$AL$120, 0) + _xlfn.XLOOKUP(K$3, 'Project Pele ROI'!$F$29:$AL$29, 'Project Pele ROI'!$F$121:$AL$121, 0)) / K$5, 0)</f>
        <v>0.54549755764133168</v>
      </c>
      <c r="L7" s="524">
        <f>IFERROR((_xlfn.XLOOKUP(L$3, 'Project Pele ROI'!$F$29:$AL$29, 'Project Pele ROI'!$F$120:$AL$120, 0) + _xlfn.XLOOKUP(L$3, 'Project Pele ROI'!$F$29:$AL$29, 'Project Pele ROI'!$F$121:$AL$121, 0)) / L$5, 0)</f>
        <v>0.55640750879415835</v>
      </c>
      <c r="M7" s="524">
        <f>IFERROR((_xlfn.XLOOKUP(M$3, 'Project Pele ROI'!$F$29:$AL$29, 'Project Pele ROI'!$F$120:$AL$120, 0) + _xlfn.XLOOKUP(M$3, 'Project Pele ROI'!$F$29:$AL$29, 'Project Pele ROI'!$F$121:$AL$121, 0)) / M$5, 0)</f>
        <v>0.56753565897004155</v>
      </c>
      <c r="N7" s="524">
        <f>IFERROR((_xlfn.XLOOKUP(N$3, 'Project Pele ROI'!$F$29:$AL$29, 'Project Pele ROI'!$F$120:$AL$120, 0) + _xlfn.XLOOKUP(N$3, 'Project Pele ROI'!$F$29:$AL$29, 'Project Pele ROI'!$F$121:$AL$121, 0)) / N$5, 0)</f>
        <v>0.57888637214944239</v>
      </c>
    </row>
    <row r="8" spans="1:20">
      <c r="B8" s="518"/>
      <c r="C8" s="518"/>
      <c r="E8" s="519"/>
      <c r="F8" s="519"/>
      <c r="G8" s="519"/>
      <c r="H8" s="519"/>
      <c r="I8" s="519"/>
      <c r="J8" s="519"/>
      <c r="K8" s="519"/>
      <c r="L8" s="519"/>
      <c r="M8" s="519"/>
      <c r="N8" s="519"/>
    </row>
    <row r="9" spans="1:20">
      <c r="B9" s="523"/>
      <c r="C9" s="523"/>
      <c r="E9" s="524"/>
      <c r="F9" s="524"/>
      <c r="G9" s="524"/>
      <c r="H9" s="524"/>
      <c r="I9" s="524"/>
      <c r="J9" s="524"/>
      <c r="K9" s="524"/>
      <c r="L9" s="524"/>
      <c r="M9" s="524"/>
      <c r="N9" s="524"/>
    </row>
    <row r="10" spans="1:20">
      <c r="B10" s="518"/>
      <c r="C10" s="518"/>
      <c r="E10" s="519"/>
      <c r="F10" s="519"/>
      <c r="G10" s="519"/>
      <c r="H10" s="519"/>
      <c r="I10" s="519"/>
      <c r="J10" s="519"/>
      <c r="K10" s="519"/>
      <c r="L10" s="519"/>
      <c r="M10" s="519"/>
      <c r="N10" s="519"/>
    </row>
    <row r="11" spans="1:20" ht="15.75" thickBot="1">
      <c r="B11" s="525"/>
      <c r="C11" s="525"/>
      <c r="E11" s="526"/>
      <c r="F11" s="526"/>
      <c r="G11" s="526"/>
      <c r="H11" s="526"/>
      <c r="I11" s="526"/>
      <c r="J11" s="526"/>
      <c r="K11" s="526"/>
      <c r="L11" s="526"/>
      <c r="M11" s="526"/>
      <c r="N11" s="526"/>
    </row>
    <row r="12" spans="1:20" ht="3.75" customHeight="1"/>
    <row r="13" spans="1:20">
      <c r="B13" s="520" t="s">
        <v>631</v>
      </c>
      <c r="C13" s="521" t="s">
        <v>652</v>
      </c>
      <c r="E13" s="522">
        <f>_xlfn.XLOOKUP(E$3, 'Project Playground ROI'!$F$29:$AL$29, 'Project Playground ROI'!$F$47:$AL$47, 0)</f>
        <v>0</v>
      </c>
      <c r="F13" s="522">
        <f>_xlfn.XLOOKUP(F$3, 'Project Playground ROI'!$F$29:$AL$29, 'Project Playground ROI'!$F$47:$AL$47, 0)</f>
        <v>0</v>
      </c>
      <c r="G13" s="522">
        <f>_xlfn.XLOOKUP(G$3, 'Project Playground ROI'!$F$29:$AL$29, 'Project Playground ROI'!$F$47:$AL$47, 0)</f>
        <v>0</v>
      </c>
      <c r="H13" s="522">
        <f>_xlfn.XLOOKUP(H$3, 'Project Playground ROI'!$F$29:$AL$29, 'Project Playground ROI'!$F$47:$AL$47, 0)</f>
        <v>0</v>
      </c>
      <c r="I13" s="522">
        <f>_xlfn.XLOOKUP(I$3, 'Project Playground ROI'!$F$29:$AL$29, 'Project Playground ROI'!$F$47:$AL$47, 0)</f>
        <v>2687.2383999999997</v>
      </c>
      <c r="J13" s="522">
        <f>_xlfn.XLOOKUP(J$3, 'Project Playground ROI'!$F$29:$AL$29, 'Project Playground ROI'!$F$47:$AL$47, 0)</f>
        <v>7677.8239999999996</v>
      </c>
      <c r="K13" s="522">
        <f>_xlfn.XLOOKUP(K$3, 'Project Playground ROI'!$F$29:$AL$29, 'Project Playground ROI'!$F$47:$AL$47, 0)</f>
        <v>7677.8239999999996</v>
      </c>
      <c r="L13" s="522">
        <f>_xlfn.XLOOKUP(L$3, 'Project Playground ROI'!$F$29:$AL$29, 'Project Playground ROI'!$F$47:$AL$47, 0)</f>
        <v>7677.8239999999996</v>
      </c>
      <c r="M13" s="522">
        <f>_xlfn.XLOOKUP(M$3, 'Project Playground ROI'!$F$29:$AL$29, 'Project Playground ROI'!$F$47:$AL$47, 0)</f>
        <v>7677.8239999999996</v>
      </c>
      <c r="N13" s="522">
        <f>_xlfn.XLOOKUP(N$3, 'Project Playground ROI'!$F$29:$AL$29, 'Project Playground ROI'!$F$47:$AL$47, 0)</f>
        <v>7677.8239999999996</v>
      </c>
    </row>
    <row r="14" spans="1:20">
      <c r="B14" s="518"/>
      <c r="C14" s="518" t="s">
        <v>653</v>
      </c>
      <c r="E14" s="519">
        <f>IFERROR((_xlfn.XLOOKUP(E$3, 'Project Playground ROI'!$F$29:$AL$29, 'Project Playground ROI'!$F$124:$AL$124, 0) + _xlfn.XLOOKUP(E$3, 'Project Playground ROI'!$F$29:$AL$29, 'Project Playground ROI'!$F$125:$AL$125, 0)) / E$13, 0)</f>
        <v>0</v>
      </c>
      <c r="F14" s="519">
        <f>IFERROR((_xlfn.XLOOKUP(F$3, 'Project Playground ROI'!$F$29:$AL$29, 'Project Playground ROI'!$F$124:$AL$124, 0) + _xlfn.XLOOKUP(F$3, 'Project Playground ROI'!$F$29:$AL$29, 'Project Playground ROI'!$F$125:$AL$125, 0)) / F$13, 0)</f>
        <v>0</v>
      </c>
      <c r="G14" s="519">
        <f>IFERROR((_xlfn.XLOOKUP(G$3, 'Project Playground ROI'!$F$29:$AL$29, 'Project Playground ROI'!$F$124:$AL$124, 0) + _xlfn.XLOOKUP(G$3, 'Project Playground ROI'!$F$29:$AL$29, 'Project Playground ROI'!$F$125:$AL$125, 0)) / G$13, 0)</f>
        <v>0</v>
      </c>
      <c r="H14" s="519">
        <f>IFERROR((_xlfn.XLOOKUP(H$3, 'Project Playground ROI'!$F$29:$AL$29, 'Project Playground ROI'!$F$124:$AL$124, 0) + _xlfn.XLOOKUP(H$3, 'Project Playground ROI'!$F$29:$AL$29, 'Project Playground ROI'!$F$125:$AL$125, 0)) / H$13, 0)</f>
        <v>0</v>
      </c>
      <c r="I14" s="519">
        <f>IFERROR((_xlfn.XLOOKUP(I$3, 'Project Playground ROI'!$F$29:$AL$29, 'Project Playground ROI'!$F$124:$AL$124, 0) + _xlfn.XLOOKUP(I$3, 'Project Playground ROI'!$F$29:$AL$29, 'Project Playground ROI'!$F$125:$AL$125, 0)) / I$13, 0)</f>
        <v>2.0734161421274435</v>
      </c>
      <c r="J14" s="519">
        <f>IFERROR((_xlfn.XLOOKUP(J$3, 'Project Playground ROI'!$F$29:$AL$29, 'Project Playground ROI'!$F$124:$AL$124, 0) + _xlfn.XLOOKUP(J$3, 'Project Playground ROI'!$F$29:$AL$29, 'Project Playground ROI'!$F$125:$AL$125, 0)) / J$13, 0)</f>
        <v>2.0734161421274435</v>
      </c>
      <c r="K14" s="519">
        <f>IFERROR((_xlfn.XLOOKUP(K$3, 'Project Playground ROI'!$F$29:$AL$29, 'Project Playground ROI'!$F$124:$AL$124, 0) + _xlfn.XLOOKUP(K$3, 'Project Playground ROI'!$F$29:$AL$29, 'Project Playground ROI'!$F$125:$AL$125, 0)) / K$13, 0)</f>
        <v>2.0734161421274435</v>
      </c>
      <c r="L14" s="519">
        <f>IFERROR((_xlfn.XLOOKUP(L$3, 'Project Playground ROI'!$F$29:$AL$29, 'Project Playground ROI'!$F$124:$AL$124, 0) + _xlfn.XLOOKUP(L$3, 'Project Playground ROI'!$F$29:$AL$29, 'Project Playground ROI'!$F$125:$AL$125, 0)) / L$13, 0)</f>
        <v>2.0734161421274435</v>
      </c>
      <c r="M14" s="519">
        <f>IFERROR((_xlfn.XLOOKUP(M$3, 'Project Playground ROI'!$F$29:$AL$29, 'Project Playground ROI'!$F$124:$AL$124, 0) + _xlfn.XLOOKUP(M$3, 'Project Playground ROI'!$F$29:$AL$29, 'Project Playground ROI'!$F$125:$AL$125, 0)) / M$13, 0)</f>
        <v>2.0734161421274435</v>
      </c>
      <c r="N14" s="519">
        <f>IFERROR((_xlfn.XLOOKUP(N$3, 'Project Playground ROI'!$F$29:$AL$29, 'Project Playground ROI'!$F$124:$AL$124, 0) + _xlfn.XLOOKUP(N$3, 'Project Playground ROI'!$F$29:$AL$29, 'Project Playground ROI'!$F$125:$AL$125, 0)) / N$13, 0)</f>
        <v>2.0734161421274435</v>
      </c>
    </row>
    <row r="15" spans="1:20">
      <c r="B15" s="523"/>
      <c r="C15" s="523" t="s">
        <v>654</v>
      </c>
      <c r="E15" s="524">
        <f>IFERROR((_xlfn.XLOOKUP(E$3, 'Project Playground ROI'!$F$29:$AL$29, 'Project Playground ROI'!$F$120:$AL$120, 0) + _xlfn.XLOOKUP(E$3, 'Project Playground ROI'!$F$29:$AL$29, 'Project Playground ROI'!$F$121:$AL$121, 0)) / E$13, 0)</f>
        <v>0</v>
      </c>
      <c r="F15" s="524">
        <f>IFERROR((_xlfn.XLOOKUP(F$3, 'Project Playground ROI'!$F$29:$AL$29, 'Project Playground ROI'!$F$120:$AL$120, 0) + _xlfn.XLOOKUP(F$3, 'Project Playground ROI'!$F$29:$AL$29, 'Project Playground ROI'!$F$121:$AL$121, 0)) / F$13, 0)</f>
        <v>0</v>
      </c>
      <c r="G15" s="524">
        <f>IFERROR((_xlfn.XLOOKUP(G$3, 'Project Playground ROI'!$F$29:$AL$29, 'Project Playground ROI'!$F$120:$AL$120, 0) + _xlfn.XLOOKUP(G$3, 'Project Playground ROI'!$F$29:$AL$29, 'Project Playground ROI'!$F$121:$AL$121, 0)) / G$13, 0)</f>
        <v>0</v>
      </c>
      <c r="H15" s="524">
        <f>IFERROR((_xlfn.XLOOKUP(H$3, 'Project Playground ROI'!$F$29:$AL$29, 'Project Playground ROI'!$F$120:$AL$120, 0) + _xlfn.XLOOKUP(H$3, 'Project Playground ROI'!$F$29:$AL$29, 'Project Playground ROI'!$F$121:$AL$121, 0)) / H$13, 0)</f>
        <v>0</v>
      </c>
      <c r="I15" s="524">
        <f>IFERROR((_xlfn.XLOOKUP(I$3, 'Project Playground ROI'!$F$29:$AL$29, 'Project Playground ROI'!$F$120:$AL$120, 0) + _xlfn.XLOOKUP(I$3, 'Project Playground ROI'!$F$29:$AL$29, 'Project Playground ROI'!$F$121:$AL$121, 0)) / I$13, 0)</f>
        <v>0.48190737375589748</v>
      </c>
      <c r="J15" s="524">
        <f>IFERROR((_xlfn.XLOOKUP(J$3, 'Project Playground ROI'!$F$29:$AL$29, 'Project Playground ROI'!$F$120:$AL$120, 0) + _xlfn.XLOOKUP(J$3, 'Project Playground ROI'!$F$29:$AL$29, 'Project Playground ROI'!$F$121:$AL$121, 0)) / J$13, 0)</f>
        <v>0.49154552123101541</v>
      </c>
      <c r="K15" s="524">
        <f>IFERROR((_xlfn.XLOOKUP(K$3, 'Project Playground ROI'!$F$29:$AL$29, 'Project Playground ROI'!$F$120:$AL$120, 0) + _xlfn.XLOOKUP(K$3, 'Project Playground ROI'!$F$29:$AL$29, 'Project Playground ROI'!$F$121:$AL$121, 0)) / K$13, 0)</f>
        <v>0.50137643165563572</v>
      </c>
      <c r="L15" s="524">
        <f>IFERROR((_xlfn.XLOOKUP(L$3, 'Project Playground ROI'!$F$29:$AL$29, 'Project Playground ROI'!$F$120:$AL$120, 0) + _xlfn.XLOOKUP(L$3, 'Project Playground ROI'!$F$29:$AL$29, 'Project Playground ROI'!$F$121:$AL$121, 0)) / L$13, 0)</f>
        <v>0.51140396028874846</v>
      </c>
      <c r="M15" s="524">
        <f>IFERROR((_xlfn.XLOOKUP(M$3, 'Project Playground ROI'!$F$29:$AL$29, 'Project Playground ROI'!$F$120:$AL$120, 0) + _xlfn.XLOOKUP(M$3, 'Project Playground ROI'!$F$29:$AL$29, 'Project Playground ROI'!$F$121:$AL$121, 0)) / M$13, 0)</f>
        <v>0.52163203949452341</v>
      </c>
      <c r="N15" s="524">
        <f>IFERROR((_xlfn.XLOOKUP(N$3, 'Project Playground ROI'!$F$29:$AL$29, 'Project Playground ROI'!$F$120:$AL$120, 0) + _xlfn.XLOOKUP(N$3, 'Project Playground ROI'!$F$29:$AL$29, 'Project Playground ROI'!$F$121:$AL$121, 0)) / N$13, 0)</f>
        <v>0.53206468028441389</v>
      </c>
    </row>
    <row r="16" spans="1:20">
      <c r="B16" s="518"/>
      <c r="C16" s="518"/>
      <c r="E16" s="519"/>
      <c r="F16" s="519"/>
      <c r="G16" s="519"/>
      <c r="H16" s="519"/>
      <c r="I16" s="519"/>
      <c r="J16" s="519"/>
      <c r="K16" s="519"/>
      <c r="L16" s="519"/>
      <c r="M16" s="519"/>
      <c r="N16" s="519"/>
    </row>
    <row r="17" spans="2:14">
      <c r="B17" s="523"/>
      <c r="C17" s="523"/>
      <c r="E17" s="524"/>
      <c r="F17" s="524"/>
      <c r="G17" s="524"/>
      <c r="H17" s="524"/>
      <c r="I17" s="524"/>
      <c r="J17" s="524"/>
      <c r="K17" s="524"/>
      <c r="L17" s="524"/>
      <c r="M17" s="524"/>
      <c r="N17" s="524"/>
    </row>
    <row r="18" spans="2:14">
      <c r="B18" s="518"/>
      <c r="C18" s="518"/>
      <c r="E18" s="519"/>
      <c r="F18" s="519"/>
      <c r="G18" s="519"/>
      <c r="H18" s="519"/>
      <c r="I18" s="519"/>
      <c r="J18" s="519"/>
      <c r="K18" s="519"/>
      <c r="L18" s="519"/>
      <c r="M18" s="519"/>
      <c r="N18" s="519"/>
    </row>
    <row r="19" spans="2:14" ht="15.75" thickBot="1">
      <c r="B19" s="525"/>
      <c r="C19" s="525"/>
      <c r="E19" s="526"/>
      <c r="F19" s="526"/>
      <c r="G19" s="526"/>
      <c r="H19" s="526"/>
      <c r="I19" s="526"/>
      <c r="J19" s="526"/>
      <c r="K19" s="526"/>
      <c r="L19" s="526"/>
      <c r="M19" s="526"/>
      <c r="N19" s="526"/>
    </row>
    <row r="20" spans="2:14" ht="3.75" customHeight="1"/>
    <row r="21" spans="2:14">
      <c r="B21" s="520" t="s">
        <v>22</v>
      </c>
      <c r="C21" s="521" t="s">
        <v>652</v>
      </c>
      <c r="E21" s="522">
        <f>_xlfn.XLOOKUP(E$3, 'Project Eureka ROI'!$F$21:$AL$21, 'Project Eureka ROI'!$F$39:$AL$39, 0)</f>
        <v>0</v>
      </c>
      <c r="F21" s="522">
        <f>_xlfn.XLOOKUP(F$3, 'Project Eureka ROI'!$F$21:$AL$21, 'Project Eureka ROI'!$F$39:$AL$39, 0)</f>
        <v>0</v>
      </c>
      <c r="G21" s="522">
        <f>_xlfn.XLOOKUP(G$3, 'Project Eureka ROI'!$F$21:$AL$21, 'Project Eureka ROI'!$F$39:$AL$39, 0)</f>
        <v>0</v>
      </c>
      <c r="H21" s="522">
        <f>_xlfn.XLOOKUP(H$3, 'Project Eureka ROI'!$F$21:$AL$21, 'Project Eureka ROI'!$F$39:$AL$39, 0)</f>
        <v>0</v>
      </c>
      <c r="I21" s="522">
        <f>_xlfn.XLOOKUP(I$3, 'Project Eureka ROI'!$F$21:$AL$21, 'Project Eureka ROI'!$F$39:$AL$39, 0)</f>
        <v>2687.2383999999997</v>
      </c>
      <c r="J21" s="522">
        <f>_xlfn.XLOOKUP(J$3, 'Project Eureka ROI'!$F$21:$AL$21, 'Project Eureka ROI'!$F$39:$AL$39, 0)</f>
        <v>7677.8239999999996</v>
      </c>
      <c r="K21" s="522">
        <f>_xlfn.XLOOKUP(K$3, 'Project Eureka ROI'!$F$21:$AL$21, 'Project Eureka ROI'!$F$39:$AL$39, 0)</f>
        <v>7677.8239999999996</v>
      </c>
      <c r="L21" s="522">
        <f>_xlfn.XLOOKUP(L$3, 'Project Eureka ROI'!$F$21:$AL$21, 'Project Eureka ROI'!$F$39:$AL$39, 0)</f>
        <v>7677.8239999999996</v>
      </c>
      <c r="M21" s="522">
        <f>_xlfn.XLOOKUP(M$3, 'Project Eureka ROI'!$F$21:$AL$21, 'Project Eureka ROI'!$F$39:$AL$39, 0)</f>
        <v>7677.8239999999996</v>
      </c>
      <c r="N21" s="522">
        <f>_xlfn.XLOOKUP(N$3, 'Project Eureka ROI'!$F$21:$AL$21, 'Project Eureka ROI'!$F$39:$AL$39, 0)</f>
        <v>7677.8239999999996</v>
      </c>
    </row>
    <row r="22" spans="2:14">
      <c r="B22" s="518"/>
      <c r="C22" s="518" t="s">
        <v>653</v>
      </c>
      <c r="E22" s="519">
        <f>IFERROR((_xlfn.XLOOKUP(E$3, 'Project Eureka ROI'!$F$21:$AL$21, 'Project Eureka ROI'!$F$134:$AL$134, 0) + _xlfn.XLOOKUP(E$3, 'Project Eureka ROI'!$F$21:$AL$21, 'Project Eureka ROI'!$F$135:$AL$135, 0)) / E$21, 0)</f>
        <v>0</v>
      </c>
      <c r="F22" s="519">
        <f>IFERROR((_xlfn.XLOOKUP(F$3, 'Project Eureka ROI'!$F$21:$AL$21, 'Project Eureka ROI'!$F$134:$AL$134, 0) + _xlfn.XLOOKUP(F$3, 'Project Eureka ROI'!$F$21:$AL$21, 'Project Eureka ROI'!$F$135:$AL$135, 0)) / F$21, 0)</f>
        <v>0</v>
      </c>
      <c r="G22" s="519">
        <f>IFERROR((_xlfn.XLOOKUP(G$3, 'Project Eureka ROI'!$F$21:$AL$21, 'Project Eureka ROI'!$F$134:$AL$134, 0) + _xlfn.XLOOKUP(G$3, 'Project Eureka ROI'!$F$21:$AL$21, 'Project Eureka ROI'!$F$135:$AL$135, 0)) / G$21, 0)</f>
        <v>0</v>
      </c>
      <c r="H22" s="519">
        <f>IFERROR((_xlfn.XLOOKUP(H$3, 'Project Eureka ROI'!$F$21:$AL$21, 'Project Eureka ROI'!$F$134:$AL$134, 0) + _xlfn.XLOOKUP(H$3, 'Project Eureka ROI'!$F$21:$AL$21, 'Project Eureka ROI'!$F$135:$AL$135, 0)) / H$21, 0)</f>
        <v>0</v>
      </c>
      <c r="I22" s="519">
        <f>IFERROR((_xlfn.XLOOKUP(I$3, 'Project Eureka ROI'!$F$21:$AL$21, 'Project Eureka ROI'!$F$134:$AL$134, 0) + _xlfn.XLOOKUP(I$3, 'Project Eureka ROI'!$F$21:$AL$21, 'Project Eureka ROI'!$F$135:$AL$135, 0)) / I$21, 0)</f>
        <v>2.1291797096620546</v>
      </c>
      <c r="J22" s="519">
        <f>IFERROR((_xlfn.XLOOKUP(J$3, 'Project Eureka ROI'!$F$21:$AL$21, 'Project Eureka ROI'!$F$134:$AL$134, 0) + _xlfn.XLOOKUP(J$3, 'Project Eureka ROI'!$F$21:$AL$21, 'Project Eureka ROI'!$F$135:$AL$135, 0)) / J$21, 0)</f>
        <v>2.0078116166785662</v>
      </c>
      <c r="K22" s="519">
        <f>IFERROR((_xlfn.XLOOKUP(K$3, 'Project Eureka ROI'!$F$21:$AL$21, 'Project Eureka ROI'!$F$134:$AL$134, 0) + _xlfn.XLOOKUP(K$3, 'Project Eureka ROI'!$F$21:$AL$21, 'Project Eureka ROI'!$F$135:$AL$135, 0)) / K$21, 0)</f>
        <v>2.0098641513550581</v>
      </c>
      <c r="L22" s="519">
        <f>IFERROR((_xlfn.XLOOKUP(L$3, 'Project Eureka ROI'!$F$21:$AL$21, 'Project Eureka ROI'!$F$134:$AL$134, 0) + _xlfn.XLOOKUP(L$3, 'Project Eureka ROI'!$F$21:$AL$21, 'Project Eureka ROI'!$F$135:$AL$135, 0)) / L$21, 0)</f>
        <v>2.0119782620718443</v>
      </c>
      <c r="M22" s="519">
        <f>IFERROR((_xlfn.XLOOKUP(M$3, 'Project Eureka ROI'!$F$21:$AL$21, 'Project Eureka ROI'!$F$134:$AL$134, 0) + _xlfn.XLOOKUP(M$3, 'Project Eureka ROI'!$F$21:$AL$21, 'Project Eureka ROI'!$F$135:$AL$135, 0)) / M$21, 0)</f>
        <v>2.0141557961101344</v>
      </c>
      <c r="N22" s="519">
        <f>IFERROR((_xlfn.XLOOKUP(N$3, 'Project Eureka ROI'!$F$21:$AL$21, 'Project Eureka ROI'!$F$134:$AL$134, 0) + _xlfn.XLOOKUP(N$3, 'Project Eureka ROI'!$F$21:$AL$21, 'Project Eureka ROI'!$F$135:$AL$135, 0)) / N$21, 0)</f>
        <v>2.0163986561695735</v>
      </c>
    </row>
    <row r="23" spans="2:14">
      <c r="B23" s="523"/>
      <c r="C23" s="523" t="s">
        <v>654</v>
      </c>
      <c r="E23" s="524">
        <f>IFERROR((_xlfn.XLOOKUP(E$3, 'Project Eureka ROI'!$F$21:$AL$21, 'Project Eureka ROI'!$F$132:$AL$132, 0) + _xlfn.XLOOKUP(E$3, 'Project Eureka ROI'!$F$21:$AL$21, 'Project Eureka ROI'!$F$133:$AL$133, 0)) / E$21, 0)</f>
        <v>0</v>
      </c>
      <c r="F23" s="524">
        <f>IFERROR((_xlfn.XLOOKUP(F$3, 'Project Eureka ROI'!$F$21:$AL$21, 'Project Eureka ROI'!$F$132:$AL$132, 0) + _xlfn.XLOOKUP(F$3, 'Project Eureka ROI'!$F$21:$AL$21, 'Project Eureka ROI'!$F$133:$AL$133, 0)) / F$21, 0)</f>
        <v>0</v>
      </c>
      <c r="G23" s="524">
        <f>IFERROR((_xlfn.XLOOKUP(G$3, 'Project Eureka ROI'!$F$21:$AL$21, 'Project Eureka ROI'!$F$132:$AL$132, 0) + _xlfn.XLOOKUP(G$3, 'Project Eureka ROI'!$F$21:$AL$21, 'Project Eureka ROI'!$F$133:$AL$133, 0)) / G$21, 0)</f>
        <v>0</v>
      </c>
      <c r="H23" s="524">
        <f>IFERROR((_xlfn.XLOOKUP(H$3, 'Project Eureka ROI'!$F$21:$AL$21, 'Project Eureka ROI'!$F$132:$AL$132, 0) + _xlfn.XLOOKUP(H$3, 'Project Eureka ROI'!$F$21:$AL$21, 'Project Eureka ROI'!$F$133:$AL$133, 0)) / H$21, 0)</f>
        <v>0</v>
      </c>
      <c r="I23" s="524">
        <f>IFERROR((_xlfn.XLOOKUP(I$3, 'Project Eureka ROI'!$F$21:$AL$21, 'Project Eureka ROI'!$F$132:$AL$132, 0) + _xlfn.XLOOKUP(I$3, 'Project Eureka ROI'!$F$21:$AL$21, 'Project Eureka ROI'!$F$133:$AL$133, 0)) / I$21, 0)</f>
        <v>0.39073570845072764</v>
      </c>
      <c r="J23" s="524">
        <f>IFERROR((_xlfn.XLOOKUP(J$3, 'Project Eureka ROI'!$F$21:$AL$21, 'Project Eureka ROI'!$F$132:$AL$132, 0) + _xlfn.XLOOKUP(J$3, 'Project Eureka ROI'!$F$21:$AL$21, 'Project Eureka ROI'!$F$133:$AL$133, 0)) / J$21, 0)</f>
        <v>0.39855042261974222</v>
      </c>
      <c r="K23" s="524">
        <f>IFERROR((_xlfn.XLOOKUP(K$3, 'Project Eureka ROI'!$F$21:$AL$21, 'Project Eureka ROI'!$F$132:$AL$132, 0) + _xlfn.XLOOKUP(K$3, 'Project Eureka ROI'!$F$21:$AL$21, 'Project Eureka ROI'!$F$133:$AL$133, 0)) / K$21, 0)</f>
        <v>0.40652143107213706</v>
      </c>
      <c r="L23" s="524">
        <f>IFERROR((_xlfn.XLOOKUP(L$3, 'Project Eureka ROI'!$F$21:$AL$21, 'Project Eureka ROI'!$F$132:$AL$132, 0) + _xlfn.XLOOKUP(L$3, 'Project Eureka ROI'!$F$21:$AL$21, 'Project Eureka ROI'!$F$133:$AL$133, 0)) / L$21, 0)</f>
        <v>0.41465185969357976</v>
      </c>
      <c r="M23" s="524">
        <f>IFERROR((_xlfn.XLOOKUP(M$3, 'Project Eureka ROI'!$F$21:$AL$21, 'Project Eureka ROI'!$F$132:$AL$132, 0) + _xlfn.XLOOKUP(M$3, 'Project Eureka ROI'!$F$21:$AL$21, 'Project Eureka ROI'!$F$133:$AL$133, 0)) / M$21, 0)</f>
        <v>0.4229448968874514</v>
      </c>
      <c r="N23" s="524">
        <f>IFERROR((_xlfn.XLOOKUP(N$3, 'Project Eureka ROI'!$F$21:$AL$21, 'Project Eureka ROI'!$F$132:$AL$132, 0) + _xlfn.XLOOKUP(N$3, 'Project Eureka ROI'!$F$21:$AL$21, 'Project Eureka ROI'!$F$133:$AL$133, 0)) / N$21, 0)</f>
        <v>0.43140379482520042</v>
      </c>
    </row>
    <row r="24" spans="2:14">
      <c r="B24" s="518"/>
      <c r="C24" s="518"/>
      <c r="E24" s="519"/>
      <c r="F24" s="519"/>
      <c r="G24" s="519"/>
      <c r="H24" s="519"/>
      <c r="I24" s="519"/>
      <c r="J24" s="519"/>
      <c r="K24" s="519"/>
      <c r="L24" s="519"/>
      <c r="M24" s="519"/>
      <c r="N24" s="519"/>
    </row>
    <row r="25" spans="2:14">
      <c r="B25" s="523"/>
      <c r="C25" s="523"/>
      <c r="E25" s="524"/>
      <c r="F25" s="524"/>
      <c r="G25" s="524"/>
      <c r="H25" s="524"/>
      <c r="I25" s="524"/>
      <c r="J25" s="524"/>
      <c r="K25" s="524"/>
      <c r="L25" s="524"/>
      <c r="M25" s="524"/>
      <c r="N25" s="524"/>
    </row>
    <row r="26" spans="2:14">
      <c r="B26" s="518"/>
      <c r="C26" s="518"/>
      <c r="E26" s="519"/>
      <c r="F26" s="519"/>
      <c r="G26" s="519"/>
      <c r="H26" s="519"/>
      <c r="I26" s="519"/>
      <c r="J26" s="519"/>
      <c r="K26" s="519"/>
      <c r="L26" s="519"/>
      <c r="M26" s="519"/>
      <c r="N26" s="519"/>
    </row>
    <row r="27" spans="2:14" ht="15.75" thickBot="1">
      <c r="B27" s="525"/>
      <c r="C27" s="525"/>
      <c r="E27" s="526"/>
      <c r="F27" s="526"/>
      <c r="G27" s="526"/>
      <c r="H27" s="526"/>
      <c r="I27" s="526"/>
      <c r="J27" s="526"/>
      <c r="K27" s="526"/>
      <c r="L27" s="526"/>
      <c r="M27" s="526"/>
      <c r="N27" s="526"/>
    </row>
  </sheetData>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04C50-8C01-44DD-8435-3D1142E788B4}">
  <sheetPr>
    <tabColor rgb="FFFFFF00"/>
  </sheetPr>
  <dimension ref="A1:J20"/>
  <sheetViews>
    <sheetView workbookViewId="0"/>
  </sheetViews>
  <sheetFormatPr defaultColWidth="9.44140625" defaultRowHeight="13.5"/>
  <cols>
    <col min="1" max="1" width="32.5546875" style="1" bestFit="1" customWidth="1"/>
    <col min="2" max="2" width="6.5546875" style="1" bestFit="1" customWidth="1"/>
    <col min="3" max="4" width="15" style="1" bestFit="1" customWidth="1"/>
    <col min="5" max="5" width="15.44140625" style="1" bestFit="1" customWidth="1"/>
    <col min="6" max="7" width="15" style="1" bestFit="1" customWidth="1"/>
    <col min="8" max="8" width="12.5546875" style="1" bestFit="1" customWidth="1"/>
    <col min="9" max="9" width="11.5546875" style="1" bestFit="1" customWidth="1"/>
    <col min="10" max="16384" width="9.44140625" style="1"/>
  </cols>
  <sheetData>
    <row r="1" spans="1:10">
      <c r="C1" s="2" t="s">
        <v>262</v>
      </c>
      <c r="D1" s="2" t="s">
        <v>262</v>
      </c>
      <c r="E1" s="2" t="s">
        <v>262</v>
      </c>
      <c r="F1" s="2" t="s">
        <v>262</v>
      </c>
      <c r="G1" s="2" t="s">
        <v>262</v>
      </c>
      <c r="I1" s="2" t="s">
        <v>262</v>
      </c>
    </row>
    <row r="2" spans="1:10">
      <c r="C2" s="2" t="s">
        <v>76</v>
      </c>
      <c r="D2" s="2" t="s">
        <v>76</v>
      </c>
      <c r="E2" s="2" t="s">
        <v>76</v>
      </c>
      <c r="F2" s="2" t="s">
        <v>76</v>
      </c>
      <c r="G2" s="2" t="s">
        <v>76</v>
      </c>
      <c r="I2" s="2" t="s">
        <v>76</v>
      </c>
    </row>
    <row r="3" spans="1:10" ht="27">
      <c r="C3" s="7" t="s">
        <v>263</v>
      </c>
      <c r="D3" s="7" t="s">
        <v>263</v>
      </c>
      <c r="E3" s="2" t="s">
        <v>264</v>
      </c>
      <c r="F3" s="2" t="s">
        <v>264</v>
      </c>
      <c r="G3" s="7" t="s">
        <v>263</v>
      </c>
      <c r="I3" s="2" t="s">
        <v>265</v>
      </c>
    </row>
    <row r="4" spans="1:10" ht="40.5">
      <c r="C4" s="7" t="s">
        <v>266</v>
      </c>
      <c r="D4" s="7" t="s">
        <v>267</v>
      </c>
      <c r="E4" s="7" t="s">
        <v>268</v>
      </c>
      <c r="F4" s="7" t="s">
        <v>269</v>
      </c>
      <c r="G4" s="2" t="s">
        <v>270</v>
      </c>
      <c r="I4" s="2" t="s">
        <v>270</v>
      </c>
    </row>
    <row r="5" spans="1:10">
      <c r="A5" s="3" t="s">
        <v>271</v>
      </c>
      <c r="B5" s="30" t="s">
        <v>272</v>
      </c>
      <c r="C5" s="1">
        <v>3712456.0105253332</v>
      </c>
      <c r="D5" s="1">
        <v>18473415.27928482</v>
      </c>
      <c r="E5" s="1">
        <v>16119029.03432221</v>
      </c>
      <c r="F5" s="1">
        <v>10523712.537554961</v>
      </c>
      <c r="G5" s="1">
        <v>114905664.73485312</v>
      </c>
      <c r="H5" s="1">
        <f>G5-SUM(C5:E5)</f>
        <v>76600764.410720751</v>
      </c>
      <c r="I5" s="1">
        <v>22746171.859999999</v>
      </c>
    </row>
    <row r="6" spans="1:10">
      <c r="A6" s="4" t="s">
        <v>273</v>
      </c>
      <c r="B6" s="30" t="s">
        <v>272</v>
      </c>
      <c r="C6" s="1">
        <v>1426340.6290000004</v>
      </c>
      <c r="D6" s="1">
        <v>7271354.558566194</v>
      </c>
      <c r="E6" s="1">
        <v>4759769.4516852722</v>
      </c>
      <c r="F6" s="1">
        <v>1191092.5425649602</v>
      </c>
      <c r="G6" s="1">
        <v>34126036.393079795</v>
      </c>
      <c r="H6" s="1">
        <f>G6-SUM(C6:E6)</f>
        <v>20668571.753828328</v>
      </c>
      <c r="I6" s="1">
        <v>5612035.129999999</v>
      </c>
    </row>
    <row r="7" spans="1:10">
      <c r="A7" s="4" t="s">
        <v>274</v>
      </c>
      <c r="B7" s="30" t="s">
        <v>272</v>
      </c>
      <c r="C7" s="1">
        <v>200622.00000000003</v>
      </c>
      <c r="D7" s="1">
        <v>1006597.13825225</v>
      </c>
      <c r="E7" s="1">
        <v>657001.6222803751</v>
      </c>
      <c r="F7" s="1">
        <v>2468041.0285399994</v>
      </c>
      <c r="G7" s="1">
        <v>7116217.1095763724</v>
      </c>
      <c r="H7" s="1">
        <f>G7-SUM(C7:E7)</f>
        <v>5251996.3490437474</v>
      </c>
      <c r="I7" s="1">
        <v>4135428.7</v>
      </c>
    </row>
    <row r="8" spans="1:10">
      <c r="A8" s="4" t="s">
        <v>275</v>
      </c>
      <c r="B8" s="30" t="s">
        <v>272</v>
      </c>
      <c r="C8" s="1">
        <v>300932.99999999988</v>
      </c>
      <c r="D8" s="1">
        <v>1587591.7073783751</v>
      </c>
      <c r="E8" s="1">
        <v>1039502.4334205625</v>
      </c>
      <c r="F8" s="1">
        <v>252061.54281000004</v>
      </c>
      <c r="G8" s="1">
        <v>8330147.4807931315</v>
      </c>
      <c r="H8" s="1">
        <f>G8-SUM(C8:E8)</f>
        <v>5402120.339994194</v>
      </c>
      <c r="I8" s="1">
        <v>782519.67999999993</v>
      </c>
      <c r="J8" s="6">
        <f>I8/I6</f>
        <v>0.13943599102167417</v>
      </c>
    </row>
    <row r="9" spans="1:10">
      <c r="A9" s="4" t="s">
        <v>276</v>
      </c>
      <c r="B9" s="30" t="s">
        <v>272</v>
      </c>
      <c r="C9" s="1">
        <v>1000333.333333333</v>
      </c>
      <c r="D9" s="1">
        <v>3326021.959999999</v>
      </c>
      <c r="E9" s="1">
        <v>3995000.0000000005</v>
      </c>
      <c r="F9" s="1">
        <v>6306729.9199999981</v>
      </c>
      <c r="G9" s="1">
        <v>41827562.704761907</v>
      </c>
      <c r="H9" s="1">
        <f>G9-SUM(C9:F9)</f>
        <v>27199477.491428576</v>
      </c>
      <c r="I9" s="1">
        <v>6542329.870000001</v>
      </c>
    </row>
    <row r="10" spans="1:10">
      <c r="A10" s="4" t="s">
        <v>277</v>
      </c>
      <c r="B10" s="30" t="s">
        <v>272</v>
      </c>
      <c r="C10" s="1">
        <v>120000</v>
      </c>
      <c r="D10" s="1">
        <v>129642.00000000003</v>
      </c>
      <c r="E10" s="1">
        <v>349600</v>
      </c>
      <c r="F10" s="1">
        <v>156142.07000000004</v>
      </c>
      <c r="G10" s="1">
        <v>2172945.91</v>
      </c>
      <c r="H10" s="1">
        <f t="shared" ref="H10:H18" si="0">G10-SUM(C10:E10)</f>
        <v>1573703.9100000001</v>
      </c>
      <c r="I10" s="1">
        <v>245336.77000000002</v>
      </c>
      <c r="J10" s="5"/>
    </row>
    <row r="11" spans="1:10">
      <c r="A11" s="4" t="s">
        <v>278</v>
      </c>
      <c r="B11" s="30" t="s">
        <v>272</v>
      </c>
      <c r="C11" s="1">
        <v>0</v>
      </c>
      <c r="D11" s="1">
        <v>0</v>
      </c>
      <c r="E11" s="1">
        <v>0</v>
      </c>
      <c r="F11" s="1">
        <v>6174.5199999999995</v>
      </c>
      <c r="G11" s="1">
        <v>1810224.5199999998</v>
      </c>
      <c r="H11" s="1">
        <f t="shared" si="0"/>
        <v>1810224.5199999998</v>
      </c>
      <c r="I11" s="1">
        <v>186593.27000000002</v>
      </c>
    </row>
    <row r="12" spans="1:10">
      <c r="A12" s="4" t="s">
        <v>279</v>
      </c>
      <c r="B12" s="30" t="s">
        <v>272</v>
      </c>
      <c r="C12" s="1">
        <v>0</v>
      </c>
      <c r="D12" s="1">
        <v>0</v>
      </c>
      <c r="E12" s="1">
        <v>0</v>
      </c>
      <c r="F12" s="1">
        <v>10064.969999999996</v>
      </c>
      <c r="G12" s="1">
        <v>1743954.2014285717</v>
      </c>
      <c r="H12" s="1">
        <f t="shared" si="0"/>
        <v>1743954.2014285717</v>
      </c>
      <c r="I12" s="1">
        <v>79291.31</v>
      </c>
    </row>
    <row r="13" spans="1:10">
      <c r="A13" s="4" t="s">
        <v>280</v>
      </c>
      <c r="B13" s="30" t="s">
        <v>272</v>
      </c>
      <c r="C13" s="1">
        <v>5793.75</v>
      </c>
      <c r="D13" s="1">
        <v>595992</v>
      </c>
      <c r="E13" s="1">
        <v>60412.499999999993</v>
      </c>
      <c r="F13" s="1">
        <v>14654.460000000001</v>
      </c>
      <c r="G13" s="1">
        <v>1427421.6329371433</v>
      </c>
      <c r="H13" s="1">
        <f t="shared" si="0"/>
        <v>765223.38293714332</v>
      </c>
      <c r="I13" s="1">
        <v>322336.94</v>
      </c>
    </row>
    <row r="14" spans="1:10">
      <c r="A14" s="4" t="s">
        <v>281</v>
      </c>
      <c r="B14" s="30" t="s">
        <v>272</v>
      </c>
      <c r="C14" s="1">
        <v>0</v>
      </c>
      <c r="D14" s="1">
        <v>131281.875</v>
      </c>
      <c r="E14" s="1">
        <v>167065</v>
      </c>
      <c r="F14" s="1">
        <v>6035.8199999999988</v>
      </c>
      <c r="G14" s="1">
        <v>3807636.2023047623</v>
      </c>
      <c r="H14" s="1">
        <f t="shared" si="0"/>
        <v>3509289.3273047623</v>
      </c>
      <c r="I14" s="1">
        <v>134109.99</v>
      </c>
    </row>
    <row r="15" spans="1:10">
      <c r="A15" s="4" t="s">
        <v>282</v>
      </c>
      <c r="B15" s="30" t="s">
        <v>272</v>
      </c>
      <c r="C15" s="1">
        <v>470487.97819200013</v>
      </c>
      <c r="D15" s="1">
        <v>3259854.0600879984</v>
      </c>
      <c r="E15" s="1">
        <v>2364198.1969360001</v>
      </c>
      <c r="F15" s="1">
        <v>98505.013639999976</v>
      </c>
      <c r="G15" s="1">
        <v>7952246.200000002</v>
      </c>
      <c r="H15" s="1">
        <f t="shared" si="0"/>
        <v>1857705.9647840029</v>
      </c>
      <c r="I15" s="1">
        <v>2151256.9699999997</v>
      </c>
    </row>
    <row r="16" spans="1:10">
      <c r="A16" s="4" t="s">
        <v>283</v>
      </c>
      <c r="B16" s="30" t="s">
        <v>272</v>
      </c>
      <c r="C16" s="1">
        <v>187945.31999999995</v>
      </c>
      <c r="D16" s="1">
        <v>1163879.98</v>
      </c>
      <c r="E16" s="1">
        <v>2702479.83</v>
      </c>
      <c r="F16" s="1">
        <v>14210.65</v>
      </c>
      <c r="G16" s="1">
        <v>4474469.2313999999</v>
      </c>
      <c r="H16" s="1">
        <f t="shared" si="0"/>
        <v>420164.10140000004</v>
      </c>
      <c r="I16" s="1">
        <v>945942.35000000009</v>
      </c>
    </row>
    <row r="17" spans="1:9">
      <c r="A17" s="4" t="s">
        <v>284</v>
      </c>
      <c r="B17" s="30" t="s">
        <v>272</v>
      </c>
      <c r="C17" s="1">
        <v>0</v>
      </c>
      <c r="D17" s="1">
        <v>1200</v>
      </c>
      <c r="E17" s="1">
        <v>24000</v>
      </c>
      <c r="F17" s="1">
        <v>0</v>
      </c>
      <c r="G17" s="1">
        <v>116803.14857142855</v>
      </c>
      <c r="H17" s="1">
        <f t="shared" si="0"/>
        <v>91603.148571428552</v>
      </c>
      <c r="I17" s="1">
        <v>133544.83000000002</v>
      </c>
    </row>
    <row r="18" spans="1:9">
      <c r="A18" s="4" t="s">
        <v>285</v>
      </c>
      <c r="B18" s="30" t="s">
        <v>272</v>
      </c>
      <c r="C18" s="1">
        <v>0</v>
      </c>
      <c r="D18" s="1">
        <v>0</v>
      </c>
      <c r="E18" s="1">
        <v>0</v>
      </c>
      <c r="F18" s="1">
        <v>0</v>
      </c>
      <c r="G18" s="1">
        <v>0</v>
      </c>
      <c r="H18" s="1">
        <f t="shared" si="0"/>
        <v>0</v>
      </c>
      <c r="I18" s="1">
        <v>1475446.05</v>
      </c>
    </row>
    <row r="19" spans="1:9">
      <c r="A19" s="30" t="s">
        <v>286</v>
      </c>
      <c r="B19" s="3" t="s">
        <v>287</v>
      </c>
      <c r="C19" s="1">
        <v>273405.18555555557</v>
      </c>
      <c r="D19" s="1">
        <v>1343304.2353031491</v>
      </c>
      <c r="E19" s="1">
        <v>199615.29644444448</v>
      </c>
      <c r="F19" s="1">
        <v>3542027.2955620685</v>
      </c>
      <c r="G19" s="1">
        <v>10027247.007160999</v>
      </c>
      <c r="I19" s="1">
        <v>900081.73575847992</v>
      </c>
    </row>
    <row r="20" spans="1:9">
      <c r="A20" s="3" t="s">
        <v>288</v>
      </c>
      <c r="B20" s="3" t="s">
        <v>287</v>
      </c>
      <c r="C20" s="1">
        <v>0</v>
      </c>
      <c r="D20" s="1">
        <v>0</v>
      </c>
      <c r="E20" s="1">
        <v>0</v>
      </c>
      <c r="F20" s="1">
        <v>0</v>
      </c>
      <c r="G20" s="1">
        <v>1450928.064</v>
      </c>
      <c r="I20" s="1">
        <v>-499128.82203600009</v>
      </c>
    </row>
  </sheetData>
  <phoneticPr fontId="8" type="noConversion"/>
  <pageMargins left="0.7" right="0.7" top="0.75" bottom="0.75" header="0.3" footer="0.3"/>
  <pageSetup orientation="portrait" r:id="rId1"/>
  <customProperties>
    <customPr name="CellIDs" r:id="rId2"/>
    <customPr name="ConnName" r:id="rId3"/>
    <customPr name="ConnPOV" r:id="rId4"/>
    <customPr name="HyperionPOVXML" r:id="rId5"/>
    <customPr name="HyperionXML" r:id="rId6"/>
    <customPr name="NameConnectionMap" r:id="rId7"/>
    <customPr name="POVPosition" r:id="rId8"/>
    <customPr name="SheetHasParityContent" r:id="rId9"/>
    <customPr name="SheetOptions" r:id="rId10"/>
    <customPr name="ShowPOV" r:id="rId11"/>
  </customPropertie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96535-8D3F-4974-960C-297F42F8627F}">
  <sheetPr>
    <tabColor rgb="FFFFFF00"/>
  </sheetPr>
  <dimension ref="A1:E16"/>
  <sheetViews>
    <sheetView workbookViewId="0"/>
  </sheetViews>
  <sheetFormatPr defaultColWidth="9.44140625" defaultRowHeight="13.5"/>
  <cols>
    <col min="1" max="1" width="24.5546875" style="1" bestFit="1" customWidth="1"/>
    <col min="2" max="2" width="9.44140625" style="1"/>
    <col min="3" max="3" width="29.44140625" style="1" bestFit="1" customWidth="1"/>
    <col min="4" max="4" width="15.44140625" style="1" bestFit="1" customWidth="1"/>
    <col min="5" max="5" width="13.5546875" style="1" bestFit="1" customWidth="1"/>
    <col min="6" max="16384" width="9.44140625" style="1"/>
  </cols>
  <sheetData>
    <row r="1" spans="1:5">
      <c r="D1" s="2" t="s">
        <v>262</v>
      </c>
      <c r="E1" s="2" t="s">
        <v>262</v>
      </c>
    </row>
    <row r="2" spans="1:5">
      <c r="D2" s="2" t="s">
        <v>289</v>
      </c>
      <c r="E2" s="2" t="s">
        <v>289</v>
      </c>
    </row>
    <row r="3" spans="1:5">
      <c r="D3" s="7" t="s">
        <v>290</v>
      </c>
      <c r="E3" s="2" t="s">
        <v>291</v>
      </c>
    </row>
    <row r="4" spans="1:5">
      <c r="A4" s="4" t="s">
        <v>276</v>
      </c>
      <c r="B4" s="3" t="s">
        <v>292</v>
      </c>
      <c r="C4" s="2" t="s">
        <v>293</v>
      </c>
      <c r="D4" s="1">
        <v>41827562.704761907</v>
      </c>
      <c r="E4" s="1">
        <v>40763361.920000002</v>
      </c>
    </row>
    <row r="5" spans="1:5">
      <c r="A5" s="3" t="s">
        <v>276</v>
      </c>
      <c r="B5" s="3" t="s">
        <v>292</v>
      </c>
      <c r="C5" s="30" t="s">
        <v>294</v>
      </c>
      <c r="D5" s="1">
        <v>1100000.1599999997</v>
      </c>
      <c r="E5" s="1">
        <v>957372.13999999966</v>
      </c>
    </row>
    <row r="6" spans="1:5">
      <c r="A6" s="3" t="s">
        <v>276</v>
      </c>
      <c r="B6" s="3" t="s">
        <v>292</v>
      </c>
      <c r="C6" s="30" t="s">
        <v>295</v>
      </c>
      <c r="D6" s="1">
        <v>16774682.000000004</v>
      </c>
      <c r="E6" s="1">
        <v>16123157.790000003</v>
      </c>
    </row>
    <row r="7" spans="1:5">
      <c r="A7" s="3" t="s">
        <v>276</v>
      </c>
      <c r="B7" s="3" t="s">
        <v>292</v>
      </c>
      <c r="C7" s="30" t="s">
        <v>296</v>
      </c>
      <c r="D7" s="1">
        <v>495945</v>
      </c>
      <c r="E7" s="1">
        <v>453582.60000000009</v>
      </c>
    </row>
    <row r="8" spans="1:5">
      <c r="A8" s="3" t="s">
        <v>276</v>
      </c>
      <c r="B8" s="3" t="s">
        <v>292</v>
      </c>
      <c r="C8" s="30" t="s">
        <v>297</v>
      </c>
      <c r="D8" s="1">
        <v>2327047.7314285766</v>
      </c>
      <c r="E8" s="1">
        <v>2720655.4900000007</v>
      </c>
    </row>
    <row r="9" spans="1:5">
      <c r="A9" s="3" t="s">
        <v>276</v>
      </c>
      <c r="B9" s="3" t="s">
        <v>292</v>
      </c>
      <c r="C9" s="30" t="s">
        <v>298</v>
      </c>
      <c r="D9" s="1">
        <v>655100</v>
      </c>
      <c r="E9" s="1">
        <v>757129.28000000014</v>
      </c>
    </row>
    <row r="10" spans="1:5">
      <c r="A10" s="3" t="s">
        <v>276</v>
      </c>
      <c r="B10" s="3" t="s">
        <v>292</v>
      </c>
      <c r="C10" s="30" t="s">
        <v>299</v>
      </c>
      <c r="D10" s="1">
        <v>466000</v>
      </c>
      <c r="E10" s="1">
        <v>469509.15</v>
      </c>
    </row>
    <row r="11" spans="1:5">
      <c r="A11" s="3" t="s">
        <v>276</v>
      </c>
      <c r="B11" s="3" t="s">
        <v>292</v>
      </c>
      <c r="C11" s="4" t="s">
        <v>300</v>
      </c>
      <c r="D11" s="1">
        <v>342350</v>
      </c>
      <c r="E11" s="1">
        <v>309543.07999999996</v>
      </c>
    </row>
    <row r="12" spans="1:5">
      <c r="A12" s="3" t="s">
        <v>276</v>
      </c>
      <c r="B12" s="3" t="s">
        <v>292</v>
      </c>
      <c r="C12" s="4" t="s">
        <v>301</v>
      </c>
      <c r="D12" s="1">
        <v>657750</v>
      </c>
      <c r="E12" s="1">
        <v>548289.12</v>
      </c>
    </row>
    <row r="13" spans="1:5">
      <c r="A13" s="3" t="s">
        <v>276</v>
      </c>
      <c r="B13" s="3" t="s">
        <v>292</v>
      </c>
      <c r="C13" s="4" t="s">
        <v>302</v>
      </c>
      <c r="D13" s="1">
        <v>0</v>
      </c>
      <c r="E13" s="1">
        <v>0</v>
      </c>
    </row>
    <row r="14" spans="1:5">
      <c r="A14" s="3" t="s">
        <v>276</v>
      </c>
      <c r="B14" s="3" t="s">
        <v>292</v>
      </c>
      <c r="C14" s="4" t="s">
        <v>303</v>
      </c>
      <c r="D14" s="1">
        <v>1110824.9999999998</v>
      </c>
      <c r="E14" s="1">
        <v>851207.4299999997</v>
      </c>
    </row>
    <row r="15" spans="1:5">
      <c r="A15" s="3" t="s">
        <v>276</v>
      </c>
      <c r="B15" s="3" t="s">
        <v>292</v>
      </c>
      <c r="C15" s="4" t="s">
        <v>304</v>
      </c>
      <c r="D15" s="1">
        <v>633105.6</v>
      </c>
      <c r="E15" s="1">
        <v>897639.77</v>
      </c>
    </row>
    <row r="16" spans="1:5">
      <c r="A16" s="3" t="s">
        <v>276</v>
      </c>
      <c r="B16" s="3" t="s">
        <v>292</v>
      </c>
      <c r="C16" s="4" t="s">
        <v>305</v>
      </c>
      <c r="D16" s="1">
        <v>2636672</v>
      </c>
      <c r="E16" s="1">
        <v>2756870.08</v>
      </c>
    </row>
  </sheetData>
  <pageMargins left="0.7" right="0.7" top="0.75" bottom="0.75" header="0.3" footer="0.3"/>
  <customProperties>
    <customPr name="CellIDs" r:id="rId1"/>
    <customPr name="ConnName" r:id="rId2"/>
    <customPr name="ConnPOV" r:id="rId3"/>
    <customPr name="HyperionPOVXML" r:id="rId4"/>
    <customPr name="HyperionXML" r:id="rId5"/>
    <customPr name="NameConnectionMap" r:id="rId6"/>
    <customPr name="POVPosition" r:id="rId7"/>
    <customPr name="SheetHasParityContent" r:id="rId8"/>
    <customPr name="SheetOptions" r:id="rId9"/>
    <customPr name="ShowPOV" r:id="rId10"/>
  </customProperties>
  <drawing r:id="rId1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DFD40-4823-421C-9205-D82747D1ED68}">
  <sheetPr>
    <tabColor rgb="FFFFFF00"/>
  </sheetPr>
  <dimension ref="A1:C17"/>
  <sheetViews>
    <sheetView workbookViewId="0"/>
  </sheetViews>
  <sheetFormatPr defaultColWidth="9.44140625" defaultRowHeight="13.5"/>
  <cols>
    <col min="1" max="1" width="32.5546875" style="1" bestFit="1" customWidth="1"/>
    <col min="2" max="2" width="6.5546875" style="1" bestFit="1" customWidth="1"/>
    <col min="3" max="3" width="14.44140625" style="1" bestFit="1" customWidth="1"/>
    <col min="4" max="16384" width="9.44140625" style="1"/>
  </cols>
  <sheetData>
    <row r="1" spans="1:3">
      <c r="C1" s="2" t="s">
        <v>262</v>
      </c>
    </row>
    <row r="2" spans="1:3">
      <c r="C2" s="2" t="s">
        <v>289</v>
      </c>
    </row>
    <row r="3" spans="1:3">
      <c r="C3" s="2" t="s">
        <v>290</v>
      </c>
    </row>
    <row r="4" spans="1:3">
      <c r="A4" s="3" t="s">
        <v>271</v>
      </c>
      <c r="B4" s="3" t="s">
        <v>306</v>
      </c>
      <c r="C4" s="1">
        <v>17446770.069560856</v>
      </c>
    </row>
    <row r="5" spans="1:3">
      <c r="A5" s="4" t="s">
        <v>273</v>
      </c>
      <c r="B5" s="3" t="s">
        <v>306</v>
      </c>
      <c r="C5" s="1">
        <v>5531853.0599999996</v>
      </c>
    </row>
    <row r="6" spans="1:3">
      <c r="A6" s="4" t="s">
        <v>274</v>
      </c>
      <c r="B6" s="3" t="s">
        <v>306</v>
      </c>
      <c r="C6" s="1">
        <v>716834</v>
      </c>
    </row>
    <row r="7" spans="1:3">
      <c r="A7" s="4" t="s">
        <v>275</v>
      </c>
      <c r="B7" s="3" t="s">
        <v>306</v>
      </c>
      <c r="C7" s="1">
        <v>0</v>
      </c>
    </row>
    <row r="8" spans="1:3">
      <c r="A8" s="4" t="s">
        <v>276</v>
      </c>
      <c r="B8" s="3" t="s">
        <v>306</v>
      </c>
      <c r="C8" s="1">
        <v>607553.44972226198</v>
      </c>
    </row>
    <row r="9" spans="1:3">
      <c r="A9" s="4" t="s">
        <v>277</v>
      </c>
      <c r="B9" s="3" t="s">
        <v>306</v>
      </c>
      <c r="C9" s="1">
        <v>773000</v>
      </c>
    </row>
    <row r="10" spans="1:3">
      <c r="A10" s="4" t="s">
        <v>278</v>
      </c>
      <c r="B10" s="3" t="s">
        <v>306</v>
      </c>
      <c r="C10" s="1">
        <v>8076262.4421366975</v>
      </c>
    </row>
    <row r="11" spans="1:3">
      <c r="A11" s="4" t="s">
        <v>279</v>
      </c>
      <c r="B11" s="3" t="s">
        <v>306</v>
      </c>
      <c r="C11" s="1">
        <v>1222000</v>
      </c>
    </row>
    <row r="12" spans="1:3">
      <c r="A12" s="4" t="s">
        <v>280</v>
      </c>
      <c r="B12" s="3" t="s">
        <v>306</v>
      </c>
      <c r="C12" s="1">
        <v>0</v>
      </c>
    </row>
    <row r="13" spans="1:3">
      <c r="A13" s="4" t="s">
        <v>281</v>
      </c>
      <c r="B13" s="3" t="s">
        <v>306</v>
      </c>
      <c r="C13" s="1">
        <v>519267.1177018974</v>
      </c>
    </row>
    <row r="14" spans="1:3">
      <c r="A14" s="4" t="s">
        <v>282</v>
      </c>
      <c r="B14" s="3" t="s">
        <v>306</v>
      </c>
      <c r="C14" s="1">
        <v>0</v>
      </c>
    </row>
    <row r="15" spans="1:3">
      <c r="A15" s="4" t="s">
        <v>283</v>
      </c>
      <c r="B15" s="3" t="s">
        <v>306</v>
      </c>
      <c r="C15" s="1">
        <v>0</v>
      </c>
    </row>
    <row r="16" spans="1:3">
      <c r="A16" s="4" t="s">
        <v>284</v>
      </c>
      <c r="B16" s="3" t="s">
        <v>306</v>
      </c>
      <c r="C16" s="1">
        <v>0</v>
      </c>
    </row>
    <row r="17" spans="1:3">
      <c r="A17" s="4" t="s">
        <v>285</v>
      </c>
      <c r="B17" s="3" t="s">
        <v>306</v>
      </c>
      <c r="C17" s="1">
        <v>0</v>
      </c>
    </row>
  </sheetData>
  <pageMargins left="0.7" right="0.7" top="0.75" bottom="0.75" header="0.3" footer="0.3"/>
  <pageSetup orientation="portrait" r:id="rId1"/>
  <customProperties>
    <customPr name="CellIDs" r:id="rId2"/>
    <customPr name="ConnName" r:id="rId3"/>
    <customPr name="ConnPOV" r:id="rId4"/>
    <customPr name="HyperionPOVXML" r:id="rId5"/>
    <customPr name="HyperionXML" r:id="rId6"/>
    <customPr name="NameConnectionMap" r:id="rId7"/>
    <customPr name="POVPosition" r:id="rId8"/>
    <customPr name="SheetHasParityContent" r:id="rId9"/>
    <customPr name="SheetOptions" r:id="rId10"/>
    <customPr name="ShowPOV" r:id="rId11"/>
  </customPropertie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9F6D5-F48E-4466-9548-68716C30E53B}">
  <sheetPr>
    <tabColor rgb="FFFFFF00"/>
  </sheetPr>
  <dimension ref="A1:C14"/>
  <sheetViews>
    <sheetView workbookViewId="0"/>
  </sheetViews>
  <sheetFormatPr defaultColWidth="9.44140625" defaultRowHeight="13.5"/>
  <cols>
    <col min="1" max="1" width="28.5546875" style="1" bestFit="1" customWidth="1"/>
    <col min="2" max="2" width="43.44140625" style="1" bestFit="1" customWidth="1"/>
    <col min="3" max="3" width="15" style="1" bestFit="1" customWidth="1"/>
    <col min="4" max="16384" width="9.44140625" style="1"/>
  </cols>
  <sheetData>
    <row r="1" spans="1:3">
      <c r="C1" s="2" t="s">
        <v>262</v>
      </c>
    </row>
    <row r="2" spans="1:3">
      <c r="C2" s="2" t="s">
        <v>76</v>
      </c>
    </row>
    <row r="3" spans="1:3">
      <c r="C3" s="2" t="s">
        <v>264</v>
      </c>
    </row>
    <row r="4" spans="1:3">
      <c r="A4" s="3" t="s">
        <v>271</v>
      </c>
      <c r="B4" s="3" t="s">
        <v>287</v>
      </c>
      <c r="C4" s="1">
        <v>145747478.36477676</v>
      </c>
    </row>
    <row r="5" spans="1:3">
      <c r="A5" s="3" t="s">
        <v>271</v>
      </c>
      <c r="B5" s="30" t="s">
        <v>307</v>
      </c>
      <c r="C5" s="1">
        <v>0</v>
      </c>
    </row>
    <row r="6" spans="1:3">
      <c r="A6" s="3" t="s">
        <v>271</v>
      </c>
      <c r="B6" s="30" t="s">
        <v>272</v>
      </c>
      <c r="C6" s="1">
        <v>114905664.73485312</v>
      </c>
    </row>
    <row r="7" spans="1:3">
      <c r="A7" s="3" t="s">
        <v>271</v>
      </c>
      <c r="B7" s="30" t="s">
        <v>308</v>
      </c>
      <c r="C7" s="1">
        <v>5637853.7928637965</v>
      </c>
    </row>
    <row r="8" spans="1:3">
      <c r="A8" s="3" t="s">
        <v>271</v>
      </c>
      <c r="B8" s="30" t="s">
        <v>309</v>
      </c>
      <c r="C8" s="1">
        <v>17446770.069560856</v>
      </c>
    </row>
    <row r="9" spans="1:3">
      <c r="A9" s="3" t="s">
        <v>271</v>
      </c>
      <c r="B9" s="30" t="s">
        <v>310</v>
      </c>
      <c r="C9" s="1">
        <v>0</v>
      </c>
    </row>
    <row r="10" spans="1:3">
      <c r="A10" s="3" t="s">
        <v>271</v>
      </c>
      <c r="B10" s="30" t="s">
        <v>311</v>
      </c>
      <c r="C10" s="1">
        <v>0</v>
      </c>
    </row>
    <row r="11" spans="1:3">
      <c r="A11" s="3" t="s">
        <v>271</v>
      </c>
      <c r="B11" s="30" t="s">
        <v>312</v>
      </c>
      <c r="C11" s="1">
        <v>2309189.7674989994</v>
      </c>
    </row>
    <row r="12" spans="1:3">
      <c r="A12" s="3" t="s">
        <v>271</v>
      </c>
      <c r="B12" s="30" t="s">
        <v>313</v>
      </c>
      <c r="C12" s="1">
        <v>5448000</v>
      </c>
    </row>
    <row r="13" spans="1:3">
      <c r="A13" s="3" t="s">
        <v>271</v>
      </c>
      <c r="B13" s="30" t="s">
        <v>314</v>
      </c>
      <c r="C13" s="1">
        <v>0</v>
      </c>
    </row>
    <row r="14" spans="1:3">
      <c r="A14" s="3" t="s">
        <v>271</v>
      </c>
      <c r="B14" s="30" t="s">
        <v>315</v>
      </c>
      <c r="C14" s="1">
        <v>0</v>
      </c>
    </row>
  </sheetData>
  <pageMargins left="0.7" right="0.7" top="0.75" bottom="0.75" header="0.3" footer="0.3"/>
  <customProperties>
    <customPr name="CellIDs" r:id="rId1"/>
    <customPr name="ConnName" r:id="rId2"/>
    <customPr name="ConnPOV" r:id="rId3"/>
    <customPr name="HyperionPOVXML" r:id="rId4"/>
    <customPr name="HyperionXML" r:id="rId5"/>
    <customPr name="NameConnectionMap" r:id="rId6"/>
    <customPr name="POVPosition" r:id="rId7"/>
    <customPr name="SheetHasParityContent" r:id="rId8"/>
    <customPr name="SheetOptions" r:id="rId9"/>
    <customPr name="ShowPOV" r:id="rId10"/>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6E6018A2D8B048B32E6B3DD98A59E6" ma:contentTypeVersion="18" ma:contentTypeDescription="Create a new document." ma:contentTypeScope="" ma:versionID="e455fda155e776c376cd509f7501f083">
  <xsd:schema xmlns:xsd="http://www.w3.org/2001/XMLSchema" xmlns:xs="http://www.w3.org/2001/XMLSchema" xmlns:p="http://schemas.microsoft.com/office/2006/metadata/properties" xmlns:ns1="http://schemas.microsoft.com/sharepoint/v3" xmlns:ns2="0a7e6011-4ec9-4a66-931d-6a5bc29fcd00" xmlns:ns3="180ba80a-be4c-481e-9543-4f918217f810" targetNamespace="http://schemas.microsoft.com/office/2006/metadata/properties" ma:root="true" ma:fieldsID="f80304d7f393e92a27101a97505056de" ns1:_="" ns2:_="" ns3:_="">
    <xsd:import namespace="http://schemas.microsoft.com/sharepoint/v3"/>
    <xsd:import namespace="0a7e6011-4ec9-4a66-931d-6a5bc29fcd00"/>
    <xsd:import namespace="180ba80a-be4c-481e-9543-4f918217f81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1:_ip_UnifiedCompliancePolicyProperties" minOccurs="0"/>
                <xsd:element ref="ns1:_ip_UnifiedCompliancePolicyUIAction"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LengthInSecond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4" nillable="true" ma:displayName="Unified Compliance Policy Properties" ma:hidden="true" ma:internalName="_ip_UnifiedCompliancePolicyProperties">
      <xsd:simpleType>
        <xsd:restriction base="dms:Note"/>
      </xsd:simpleType>
    </xsd:element>
    <xsd:element name="_ip_UnifiedCompliancePolicyUIAction" ma:index="15"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a7e6011-4ec9-4a66-931d-6a5bc29fcd0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7efdb39a-b832-4460-bd6f-fc025f6c751d}" ma:internalName="TaxCatchAll" ma:showField="CatchAllData" ma:web="0a7e6011-4ec9-4a66-931d-6a5bc29fcd0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80ba80a-be4c-481e-9543-4f918217f81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ternalName="MediaServiceDateTaken" ma:readOnly="true">
      <xsd:simpleType>
        <xsd:restriction base="dms:Text"/>
      </xsd:simpleType>
    </xsd:element>
    <xsd:element name="MediaServiceLocation" ma:index="21"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69e00d8d-d91a-4a61-aeca-35cf4d9d9781"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0a7e6011-4ec9-4a66-931d-6a5bc29fcd00">
      <UserInfo>
        <DisplayName>Paul Kollesoff</DisplayName>
        <AccountId>79</AccountId>
        <AccountType/>
      </UserInfo>
      <UserInfo>
        <DisplayName>SharingLinks.85d1f924-ce8b-4953-9065-6d1f21e199db.Flexible.de83da35-b283-4395-883a-24598b67ade6</DisplayName>
        <AccountId>81</AccountId>
        <AccountType/>
      </UserInfo>
      <UserInfo>
        <DisplayName>Reid Takahashi</DisplayName>
        <AccountId>16</AccountId>
        <AccountType/>
      </UserInfo>
      <UserInfo>
        <DisplayName>SharingLinks.153a23d4-cda8-48cf-8e45-460b1d9c5a8d.Flexible.cfd88b1d-0e4c-409f-a04b-579c6e061f2b</DisplayName>
        <AccountId>66</AccountId>
        <AccountType/>
      </UserInfo>
      <UserInfo>
        <DisplayName>SharingLinks.e8a2e6a1-92d1-4ebf-9311-54fc47dac9c5.Flexible.36428561-7588-4000-81c7-7fb1bd1cdc3a</DisplayName>
        <AccountId>97</AccountId>
        <AccountType/>
      </UserInfo>
      <UserInfo>
        <DisplayName>SharingLinks.58a46c52-bb8d-4e2d-9201-f80e556e539c.Flexible.fa849155-e3ee-4903-acdf-752648c80b9a</DisplayName>
        <AccountId>108</AccountId>
        <AccountType/>
      </UserInfo>
      <UserInfo>
        <DisplayName>Chuck Thorn</DisplayName>
        <AccountId>33</AccountId>
        <AccountType/>
      </UserInfo>
    </SharedWithUsers>
    <TaxCatchAll xmlns="0a7e6011-4ec9-4a66-931d-6a5bc29fcd00" xsi:nil="true"/>
    <lcf76f155ced4ddcb4097134ff3c332f xmlns="180ba80a-be4c-481e-9543-4f918217f810">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A206C3F-767D-45A0-9BF4-24F52C44D5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a7e6011-4ec9-4a66-931d-6a5bc29fcd00"/>
    <ds:schemaRef ds:uri="180ba80a-be4c-481e-9543-4f918217f8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034E53-5214-4779-82BD-9C96D8E59F8C}">
  <ds:schemaRefs>
    <ds:schemaRef ds:uri="http://schemas.microsoft.com/office/infopath/2007/PartnerControls"/>
    <ds:schemaRef ds:uri="http://purl.org/dc/terms/"/>
    <ds:schemaRef ds:uri="http://purl.org/dc/dcmitype/"/>
    <ds:schemaRef ds:uri="180ba80a-be4c-481e-9543-4f918217f810"/>
    <ds:schemaRef ds:uri="http://purl.org/dc/elements/1.1/"/>
    <ds:schemaRef ds:uri="http://www.w3.org/XML/1998/namespace"/>
    <ds:schemaRef ds:uri="http://schemas.microsoft.com/office/2006/documentManagement/types"/>
    <ds:schemaRef ds:uri="http://schemas.microsoft.com/sharepoint/v3"/>
    <ds:schemaRef ds:uri="http://schemas.microsoft.com/office/2006/metadata/properties"/>
    <ds:schemaRef ds:uri="0a7e6011-4ec9-4a66-931d-6a5bc29fcd00"/>
    <ds:schemaRef ds:uri="http://schemas.openxmlformats.org/package/2006/metadata/core-properties"/>
  </ds:schemaRefs>
</ds:datastoreItem>
</file>

<file path=customXml/itemProps3.xml><?xml version="1.0" encoding="utf-8"?>
<ds:datastoreItem xmlns:ds="http://schemas.openxmlformats.org/officeDocument/2006/customXml" ds:itemID="{DB33345D-9CF4-446F-8B69-DDB746C1C0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34</vt:i4>
      </vt:variant>
      <vt:variant>
        <vt:lpstr>Named Ranges</vt:lpstr>
      </vt:variant>
      <vt:variant>
        <vt:i4>4</vt:i4>
      </vt:variant>
    </vt:vector>
  </HeadingPairs>
  <TitlesOfParts>
    <vt:vector size="38" baseType="lpstr">
      <vt:lpstr>Assumptions</vt:lpstr>
      <vt:lpstr>Presentation</vt:lpstr>
      <vt:lpstr>PD Global</vt:lpstr>
      <vt:lpstr>Unit Economies</vt:lpstr>
      <vt:lpstr>WPI Historical Prices</vt:lpstr>
      <vt:lpstr>Balance Sheet</vt:lpstr>
      <vt:lpstr>CAPEX &amp; Financing</vt:lpstr>
      <vt:lpstr>Cashflow</vt:lpstr>
      <vt:lpstr>Capital Reconciliation</vt:lpstr>
      <vt:lpstr>Support Tabs&gt;&gt;&gt;</vt:lpstr>
      <vt:lpstr>Ingredients</vt:lpstr>
      <vt:lpstr>TUC  North America</vt:lpstr>
      <vt:lpstr>TUC High Level Sales Plan</vt:lpstr>
      <vt:lpstr>TUC International</vt:lpstr>
      <vt:lpstr>TUC Intl High Level Sales Plan</vt:lpstr>
      <vt:lpstr>TUC JV</vt:lpstr>
      <vt:lpstr>TUC JV High Level Sales Plan</vt:lpstr>
      <vt:lpstr>Nth Bio</vt:lpstr>
      <vt:lpstr>Nth Bio Revenue &amp; COGS</vt:lpstr>
      <vt:lpstr>Overheads</vt:lpstr>
      <vt:lpstr>Overheads Reconciliation</vt:lpstr>
      <vt:lpstr>Headcount Plan</vt:lpstr>
      <vt:lpstr>Headcount Reconciliaiton</vt:lpstr>
      <vt:lpstr>Project Pele ROI</vt:lpstr>
      <vt:lpstr>Project Pele Fin.</vt:lpstr>
      <vt:lpstr>Project Playground ROI</vt:lpstr>
      <vt:lpstr>Project Playground Fin.</vt:lpstr>
      <vt:lpstr>Project Eureka ROI</vt:lpstr>
      <vt:lpstr>Project Eureka Fin.</vt:lpstr>
      <vt:lpstr>Plant Metrics</vt:lpstr>
      <vt:lpstr>AdHoc</vt:lpstr>
      <vt:lpstr>AdHoc Outs. Serv.</vt:lpstr>
      <vt:lpstr>AdHoc TUC</vt:lpstr>
      <vt:lpstr>AdHoc SBF</vt:lpstr>
      <vt:lpstr>CMO_Asset_Sale_Yr</vt:lpstr>
      <vt:lpstr>Pct_JV</vt:lpstr>
      <vt:lpstr>Assumptions!Print_Area</vt:lpstr>
      <vt:lpstr>'Unit Economies'!Print_Area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Carlos Marquez</dc:creator>
  <cp:keywords/>
  <dc:description/>
  <cp:lastModifiedBy>Carlos Marquez</cp:lastModifiedBy>
  <cp:revision/>
  <cp:lastPrinted>2022-08-02T14:12:53Z</cp:lastPrinted>
  <dcterms:created xsi:type="dcterms:W3CDTF">2022-04-05T17:28:34Z</dcterms:created>
  <dcterms:modified xsi:type="dcterms:W3CDTF">2023-06-06T22:58:49Z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0x010100136E6018A2D8B048B32E6B3DD98A59E6</vt:lpwstr>
  </property>
  <property fmtid="{D5CDD505-2E9C-101B-9397-08002B2CF9AE}" pid="5" name="MediaServiceImageTags">
    <vt:lpwstr/>
  </property>
  <property fmtid="{D5CDD505-2E9C-101B-9397-08002B2CF9AE}" pid="6" name="MSIP_Label_d714bed8-1d92-46d0-83ba-5d38f47538a0_Enabled">
    <vt:lpwstr>true</vt:lpwstr>
  </property>
  <property fmtid="{D5CDD505-2E9C-101B-9397-08002B2CF9AE}" pid="7" name="MSIP_Label_d714bed8-1d92-46d0-83ba-5d38f47538a0_SetDate">
    <vt:lpwstr>2023-04-27T11:03:09Z</vt:lpwstr>
  </property>
  <property fmtid="{D5CDD505-2E9C-101B-9397-08002B2CF9AE}" pid="8" name="MSIP_Label_d714bed8-1d92-46d0-83ba-5d38f47538a0_Method">
    <vt:lpwstr>Standard</vt:lpwstr>
  </property>
  <property fmtid="{D5CDD505-2E9C-101B-9397-08002B2CF9AE}" pid="9" name="MSIP_Label_d714bed8-1d92-46d0-83ba-5d38f47538a0_Name">
    <vt:lpwstr>Public</vt:lpwstr>
  </property>
  <property fmtid="{D5CDD505-2E9C-101B-9397-08002B2CF9AE}" pid="10" name="MSIP_Label_d714bed8-1d92-46d0-83ba-5d38f47538a0_SiteId">
    <vt:lpwstr>55a8d9e9-da72-4987-ac28-51b3b5add15f</vt:lpwstr>
  </property>
  <property fmtid="{D5CDD505-2E9C-101B-9397-08002B2CF9AE}" pid="11" name="MSIP_Label_d714bed8-1d92-46d0-83ba-5d38f47538a0_ActionId">
    <vt:lpwstr>ba0f0d30-a691-414f-87e4-e0d96c81dbf7</vt:lpwstr>
  </property>
  <property fmtid="{D5CDD505-2E9C-101B-9397-08002B2CF9AE}" pid="12" name="MSIP_Label_d714bed8-1d92-46d0-83ba-5d38f47538a0_ContentBits">
    <vt:lpwstr>0</vt:lpwstr>
  </property>
</Properties>
</file>